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1040" activeTab="0"/>
  </bookViews>
  <sheets>
    <sheet name="Inputシート" sheetId="1" r:id="rId1"/>
    <sheet name="試算結果" sheetId="2" r:id="rId2"/>
    <sheet name="Inputシート ( メガネ事例)" sheetId="3" r:id="rId3"/>
    <sheet name="試算結果 (メガネ事例)" sheetId="4" r:id="rId4"/>
  </sheets>
  <definedNames>
    <definedName name="_xlfn.IFERROR" hidden="1">#NAME?</definedName>
    <definedName name="_xlnm.Print_Area" localSheetId="0">'Inputシート'!$B$1:$AA$64</definedName>
    <definedName name="_xlnm.Print_Area" localSheetId="2">'Inputシート ( メガネ事例)'!$B$1:$AA$61</definedName>
    <definedName name="_xlnm.Print_Area" localSheetId="1">'試算結果'!$A$1:$P$76</definedName>
    <definedName name="_xlnm.Print_Area" localSheetId="3">'試算結果 (メガネ事例)'!$A$1:$P$76</definedName>
  </definedNames>
  <calcPr fullCalcOnLoad="1"/>
</workbook>
</file>

<file path=xl/sharedStrings.xml><?xml version="1.0" encoding="utf-8"?>
<sst xmlns="http://schemas.openxmlformats.org/spreadsheetml/2006/main" count="493" uniqueCount="166">
  <si>
    <t>■WACC計算</t>
  </si>
  <si>
    <t>負債コスト</t>
  </si>
  <si>
    <t>税引後負債コスト</t>
  </si>
  <si>
    <t>①</t>
  </si>
  <si>
    <t>②</t>
  </si>
  <si>
    <t>株主資本コスト</t>
  </si>
  <si>
    <t>リスクプレミアム</t>
  </si>
  <si>
    <t>リスクフリーレート</t>
  </si>
  <si>
    <t>ベータ値</t>
  </si>
  <si>
    <t>固有のリスクプレミアム</t>
  </si>
  <si>
    <t>Net有利子負債</t>
  </si>
  <si>
    <t>WACC</t>
  </si>
  <si>
    <t>売上高</t>
  </si>
  <si>
    <t>営業利益</t>
  </si>
  <si>
    <t>EBITDA</t>
  </si>
  <si>
    <t>FCF</t>
  </si>
  <si>
    <t>⇒国債10年金利を入力。http://www.bloomberg.co.jp/apps/quote?T=jp09/quote.wm&amp;ticker=GJGB10:IND</t>
  </si>
  <si>
    <t>事業価値</t>
  </si>
  <si>
    <t>Net有利子負債</t>
  </si>
  <si>
    <t>⇒売却可能な有価証券、投資有価証券等</t>
  </si>
  <si>
    <t>売却可能余剰資産時価</t>
  </si>
  <si>
    <t>株式価値</t>
  </si>
  <si>
    <t>リース債務</t>
  </si>
  <si>
    <t>1株あたり株価（円）</t>
  </si>
  <si>
    <t>現金同等物</t>
  </si>
  <si>
    <t>【業績】</t>
  </si>
  <si>
    <t>売上</t>
  </si>
  <si>
    <t>営業利益</t>
  </si>
  <si>
    <t>■DCF・マルチプル共通</t>
  </si>
  <si>
    <t>【投資関連】</t>
  </si>
  <si>
    <t>減価償却費</t>
  </si>
  <si>
    <t>（単位：百万円）</t>
  </si>
  <si>
    <t>EV/EBITDA倍率</t>
  </si>
  <si>
    <t>PBR</t>
  </si>
  <si>
    <t>平均値</t>
  </si>
  <si>
    <t>EBITDA</t>
  </si>
  <si>
    <t>今期見込</t>
  </si>
  <si>
    <t>来期見込</t>
  </si>
  <si>
    <t>実績</t>
  </si>
  <si>
    <t>当期純利益</t>
  </si>
  <si>
    <t>自己資本</t>
  </si>
  <si>
    <t>営業利益</t>
  </si>
  <si>
    <t>企業価値（EV)</t>
  </si>
  <si>
    <t>株式価値（※）</t>
  </si>
  <si>
    <t>EV/営業利益倍率</t>
  </si>
  <si>
    <t>見込</t>
  </si>
  <si>
    <t>EV</t>
  </si>
  <si>
    <t>自己株式</t>
  </si>
  <si>
    <t>投資有価証券（売却可能）</t>
  </si>
  <si>
    <t>有価証券（売却可能）</t>
  </si>
  <si>
    <t>〜</t>
  </si>
  <si>
    <t>実効税率</t>
  </si>
  <si>
    <t>年度</t>
  </si>
  <si>
    <t>実績</t>
  </si>
  <si>
    <t>類似④社</t>
  </si>
  <si>
    <t>類似①社</t>
  </si>
  <si>
    <t>類似②社</t>
  </si>
  <si>
    <t>類似③社</t>
  </si>
  <si>
    <t>類似⑤社</t>
  </si>
  <si>
    <t>類似⑥社</t>
  </si>
  <si>
    <t>類似⑦社</t>
  </si>
  <si>
    <t>類似⑧社</t>
  </si>
  <si>
    <t>類似⑨社</t>
  </si>
  <si>
    <t>類似⑩社</t>
  </si>
  <si>
    <t>EBITDA</t>
  </si>
  <si>
    <t>証券コード</t>
  </si>
  <si>
    <t>会社名</t>
  </si>
  <si>
    <t>Target会社</t>
  </si>
  <si>
    <t>少数株主持分</t>
  </si>
  <si>
    <t>中央値</t>
  </si>
  <si>
    <t>有利子負債（最新）</t>
  </si>
  <si>
    <t>箇所を入力して下さい（四季報又は日経会社情報等）。</t>
  </si>
  <si>
    <t>箇所はより精緻に計算したい場合に入力して下さい（有価証券報告書、決算短信、会社IR資料等）。</t>
  </si>
  <si>
    <t>※EBITDAの見込値は、直前実績値の減価償却費をベースとしております。EBITDAの見込値が分かる場合は入力して下さい。</t>
  </si>
  <si>
    <t>×</t>
  </si>
  <si>
    <t>マルチプル</t>
  </si>
  <si>
    <t>株値</t>
  </si>
  <si>
    <t>【財務】（決算短信等から最新のデータを入力）</t>
  </si>
  <si>
    <t>株価（円）</t>
  </si>
  <si>
    <t>発行済株式数（株）</t>
  </si>
  <si>
    <t>時価総額（百万円）</t>
  </si>
  <si>
    <t>＋</t>
  </si>
  <si>
    <t>■DCF法（簡易版）</t>
  </si>
  <si>
    <t>１．試算結果サマリー</t>
  </si>
  <si>
    <t>マルチプル法</t>
  </si>
  <si>
    <t>DCF法</t>
  </si>
  <si>
    <t>２．類似会社マルチプル</t>
  </si>
  <si>
    <t>①株式価値評価</t>
  </si>
  <si>
    <t>②類似会社マルチプル</t>
  </si>
  <si>
    <t>３．DCF評価（簡易）</t>
  </si>
  <si>
    <t>①WACC</t>
  </si>
  <si>
    <t>②株式価値評価</t>
  </si>
  <si>
    <t>時価総額（株主資本）</t>
  </si>
  <si>
    <t>⇒調達資金のうちエクイティの割合</t>
  </si>
  <si>
    <t>有利子負債（直近決算期）</t>
  </si>
  <si>
    <t>有利子負債（前々決算期）</t>
  </si>
  <si>
    <t>支払利息（直近決算期）</t>
  </si>
  <si>
    <t>支払利息（前々決算期）</t>
  </si>
  <si>
    <t>⇒負債コスト×（1-実効税率）</t>
  </si>
  <si>
    <t>③</t>
  </si>
  <si>
    <t>比率</t>
  </si>
  <si>
    <t>中長期的な
業績見通し</t>
  </si>
  <si>
    <t>＝</t>
  </si>
  <si>
    <t>負債割合</t>
  </si>
  <si>
    <t>株主資本
コスト</t>
  </si>
  <si>
    <t>加重平均
コスト
（WACC）</t>
  </si>
  <si>
    <t>株主資本
割合</t>
  </si>
  <si>
    <t>税引後
負債コスト</t>
  </si>
  <si>
    <t>リース債務</t>
  </si>
  <si>
    <t>売却可能余剰資産時価</t>
  </si>
  <si>
    <t>a</t>
  </si>
  <si>
    <t>b</t>
  </si>
  <si>
    <t>（百万円）</t>
  </si>
  <si>
    <t>EV/EBITDA倍率</t>
  </si>
  <si>
    <t>PER倍率</t>
  </si>
  <si>
    <t>〜</t>
  </si>
  <si>
    <t>株価（円）</t>
  </si>
  <si>
    <t>株式価値</t>
  </si>
  <si>
    <t>1株あたり株価</t>
  </si>
  <si>
    <t>WACC</t>
  </si>
  <si>
    <t>WACC振れ幅</t>
  </si>
  <si>
    <t>株式価値（百万円）</t>
  </si>
  <si>
    <t>※優先株が無い前提での簡易評価</t>
  </si>
  <si>
    <t>PER</t>
  </si>
  <si>
    <r>
      <t>自己資本（最新）</t>
    </r>
    <r>
      <rPr>
        <sz val="10"/>
        <color indexed="10"/>
        <rFont val="メイリオ"/>
        <family val="3"/>
      </rPr>
      <t>⇒PBR算出時に入力</t>
    </r>
  </si>
  <si>
    <t>⇒時価総額が200億を下回る場合６％程度、300～500億で3%程度、500～1500億で2%程度リスクプレミアムを付与する場合がある</t>
  </si>
  <si>
    <t>マルチプル、簡易マルチプルInputシート</t>
  </si>
  <si>
    <t>FCF</t>
  </si>
  <si>
    <t>e</t>
  </si>
  <si>
    <t>f</t>
  </si>
  <si>
    <t>d-e-f+g</t>
  </si>
  <si>
    <t>c=a/b</t>
  </si>
  <si>
    <t>c-d-e+f</t>
  </si>
  <si>
    <t>メガネトップ</t>
  </si>
  <si>
    <t>ジェイアイエヌ</t>
  </si>
  <si>
    <t>三城HD</t>
  </si>
  <si>
    <t>メガネスーパー</t>
  </si>
  <si>
    <t>愛眼</t>
  </si>
  <si>
    <t>a</t>
  </si>
  <si>
    <t>a×(1-b)</t>
  </si>
  <si>
    <t>b</t>
  </si>
  <si>
    <t>※マルチプルがマイナスの場合は異常値のため、削除して下さい。</t>
  </si>
  <si>
    <t>⇒調達資金のうち借入金の割合。Net有利子負債がマイナス（預金超過）の場合は実質無借金会社のためゼロが入力されます。</t>
  </si>
  <si>
    <t>マイナス</t>
  </si>
  <si>
    <t>※簡易評価では、永久成長率や運転資本の増減は考慮せず。FCFについて、減価償却費＝設備投資に収斂するものと仮定するため計算式には入れていない。</t>
  </si>
  <si>
    <t>※簡易評価では、永久成長率や運転資本の増減は考慮せず。FCFについて、減価償却費＝設備投資に収斂するものと仮定するため計算式には入れていない。</t>
  </si>
  <si>
    <t>※簡易評価では、永久成長率や運転資本の増減は考慮せず。FCFについて、減価償却費＝設備投資に収斂するものと仮定するため計算式には入れていない。</t>
  </si>
  <si>
    <t>〜</t>
  </si>
  <si>
    <r>
      <t>⇒トムソンロイターの右記サイトの「株価検索」で銘柄又は証券コードを入力し対指数ベータを確認のうえ入力。</t>
    </r>
    <r>
      <rPr>
        <sz val="11"/>
        <color indexed="10"/>
        <rFont val="メイリオ"/>
        <family val="3"/>
      </rPr>
      <t>http://jp.reuters.com/investing/markets</t>
    </r>
  </si>
  <si>
    <r>
      <t>⇒トムソンロイターの右記サイトの「株価検索」で銘柄又は証券コードを入力し対指数ベータを確認のうえ入力。</t>
    </r>
    <r>
      <rPr>
        <sz val="11"/>
        <color indexed="10"/>
        <rFont val="メイリオ"/>
        <family val="3"/>
      </rPr>
      <t>https://www.bloomberg.co.jp/markets/rates-bonds/government-bonds/japan</t>
    </r>
  </si>
  <si>
    <t>⇒時価総額が150億を下回る場合7％程度、150億～300～500億で3%程度、500～1500億で2%程度リスクプレミアムを付与する場合がある</t>
  </si>
  <si>
    <t>■サイズリスクプレミアムの水準</t>
  </si>
  <si>
    <t>時価総額規模</t>
  </si>
  <si>
    <t>サイズ・リスクプレミアム</t>
  </si>
  <si>
    <t>～100億</t>
  </si>
  <si>
    <t>100～150億</t>
  </si>
  <si>
    <t>150～250億</t>
  </si>
  <si>
    <t>250～350億</t>
  </si>
  <si>
    <t>350～500億</t>
  </si>
  <si>
    <t>500～800億</t>
  </si>
  <si>
    <t>800～1,500億</t>
  </si>
  <si>
    <t>1,500～2,500億</t>
  </si>
  <si>
    <t>2,500～5,000億</t>
  </si>
  <si>
    <t>5,000～10,000億</t>
  </si>
  <si>
    <t>10,000億～</t>
  </si>
  <si>
    <t>資本構成割合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</si>
</sst>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0.0%"/>
    <numFmt numFmtId="185" formatCode="#,##0.0;[Red]\-#,##0.0"/>
    <numFmt numFmtId="186" formatCode="0.000_ "/>
    <numFmt numFmtId="187" formatCode="yyyy&quot;年&quot;m&quot;月&quot;;@"/>
    <numFmt numFmtId="188" formatCode="#,##0.0_);[Red]\(#,##0.0\)"/>
    <numFmt numFmtId="189" formatCode="General\×"/>
    <numFmt numFmtId="190" formatCode="0.0\×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0_);[Red]\(#,##0.00\)"/>
    <numFmt numFmtId="196" formatCode="0.00000%"/>
    <numFmt numFmtId="197" formatCode="0.0000000000000000%"/>
    <numFmt numFmtId="198" formatCode="#,##0_);[Red]\(#,##0\);&quot;-&quot;"/>
    <numFmt numFmtId="199" formatCode="#,##0.0\×"/>
    <numFmt numFmtId="200" formatCode="#,##0.00\×"/>
    <numFmt numFmtId="201" formatCode="#,##0_);[Red]\(#,##0\)"/>
    <numFmt numFmtId="202" formatCode="0.000%"/>
  </numFmts>
  <fonts count="9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メイリオ"/>
      <family val="3"/>
    </font>
    <font>
      <sz val="10"/>
      <name val="メイリオ"/>
      <family val="3"/>
    </font>
    <font>
      <b/>
      <sz val="10"/>
      <name val="メイリオ"/>
      <family val="3"/>
    </font>
    <font>
      <sz val="11"/>
      <color indexed="8"/>
      <name val="メイリオ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b/>
      <sz val="11"/>
      <name val="メイリオ"/>
      <family val="3"/>
    </font>
    <font>
      <b/>
      <sz val="14"/>
      <color indexed="8"/>
      <name val="メイリオ"/>
      <family val="3"/>
    </font>
    <font>
      <b/>
      <sz val="12"/>
      <color indexed="8"/>
      <name val="メイリオ"/>
      <family val="3"/>
    </font>
    <font>
      <b/>
      <sz val="20"/>
      <color indexed="8"/>
      <name val="メイリオ"/>
      <family val="3"/>
    </font>
    <font>
      <b/>
      <sz val="14"/>
      <color indexed="9"/>
      <name val="メイリオ"/>
      <family val="3"/>
    </font>
    <font>
      <b/>
      <sz val="12"/>
      <color indexed="9"/>
      <name val="メイリオ"/>
      <family val="3"/>
    </font>
    <font>
      <sz val="11"/>
      <color indexed="10"/>
      <name val="メイリオ"/>
      <family val="3"/>
    </font>
    <font>
      <b/>
      <sz val="12"/>
      <name val="メイリオ"/>
      <family val="3"/>
    </font>
    <font>
      <sz val="13"/>
      <color indexed="8"/>
      <name val="メイリオ"/>
      <family val="3"/>
    </font>
    <font>
      <sz val="13"/>
      <name val="メイリオ"/>
      <family val="3"/>
    </font>
    <font>
      <b/>
      <sz val="13"/>
      <name val="メイリオ"/>
      <family val="3"/>
    </font>
    <font>
      <b/>
      <sz val="13"/>
      <color indexed="8"/>
      <name val="メイリオ"/>
      <family val="3"/>
    </font>
    <font>
      <sz val="12"/>
      <color indexed="8"/>
      <name val="メイリオ"/>
      <family val="3"/>
    </font>
    <font>
      <sz val="12"/>
      <name val="メイリオ"/>
      <family val="3"/>
    </font>
    <font>
      <b/>
      <sz val="13"/>
      <color indexed="9"/>
      <name val="メイリオ"/>
      <family val="3"/>
    </font>
    <font>
      <sz val="11"/>
      <name val="Times New Roman"/>
      <family val="1"/>
    </font>
    <font>
      <sz val="14"/>
      <color indexed="8"/>
      <name val="メイリオ"/>
      <family val="3"/>
    </font>
    <font>
      <sz val="9"/>
      <color indexed="63"/>
      <name val="ＭＳ Ｐゴシック"/>
      <family val="3"/>
    </font>
    <font>
      <sz val="10"/>
      <color indexed="8"/>
      <name val="ＭＳ Ｐゴシック"/>
      <family val="3"/>
    </font>
    <font>
      <sz val="10"/>
      <color indexed="63"/>
      <name val="ＭＳ Ｐゴシック"/>
      <family val="3"/>
    </font>
    <font>
      <sz val="10"/>
      <color indexed="10"/>
      <name val="メイリオ"/>
      <family val="3"/>
    </font>
    <font>
      <b/>
      <sz val="14"/>
      <name val="メイリオ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9"/>
      <name val="メイリオ"/>
      <family val="3"/>
    </font>
    <font>
      <sz val="13"/>
      <color indexed="9"/>
      <name val="メイリオ"/>
      <family val="3"/>
    </font>
    <font>
      <sz val="12"/>
      <color indexed="9"/>
      <name val="メイリオ"/>
      <family val="3"/>
    </font>
    <font>
      <sz val="13"/>
      <color indexed="8"/>
      <name val="ＭＳ Ｐゴシック"/>
      <family val="3"/>
    </font>
    <font>
      <sz val="11"/>
      <color indexed="9"/>
      <name val="メイリオ"/>
      <family val="3"/>
    </font>
    <font>
      <b/>
      <sz val="13"/>
      <color indexed="9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0"/>
      <color indexed="9"/>
      <name val="メイリオ"/>
      <family val="3"/>
    </font>
    <font>
      <b/>
      <sz val="14"/>
      <color indexed="10"/>
      <name val="メイリオ"/>
      <family val="3"/>
    </font>
    <font>
      <b/>
      <sz val="15"/>
      <color indexed="9"/>
      <name val="メイリオ"/>
      <family val="3"/>
    </font>
    <font>
      <b/>
      <sz val="18"/>
      <color indexed="63"/>
      <name val="ＭＳ Ｐゴシック"/>
      <family val="3"/>
    </font>
    <font>
      <b/>
      <sz val="18"/>
      <color indexed="63"/>
      <name val="Calibri"/>
      <family val="2"/>
    </font>
    <font>
      <sz val="18"/>
      <color indexed="63"/>
      <name val="ＭＳ Ｐゴシック"/>
      <family val="3"/>
    </font>
    <font>
      <sz val="18"/>
      <color indexed="63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0"/>
      <name val="メイリオ"/>
      <family val="3"/>
    </font>
    <font>
      <sz val="13"/>
      <color theme="0"/>
      <name val="メイリオ"/>
      <family val="3"/>
    </font>
    <font>
      <sz val="12"/>
      <color theme="0"/>
      <name val="メイリオ"/>
      <family val="3"/>
    </font>
    <font>
      <sz val="13"/>
      <color theme="1"/>
      <name val="Calibri"/>
      <family val="3"/>
    </font>
    <font>
      <sz val="11"/>
      <color theme="0"/>
      <name val="メイリオ"/>
      <family val="3"/>
    </font>
    <font>
      <sz val="11"/>
      <color theme="1"/>
      <name val="メイリオ"/>
      <family val="3"/>
    </font>
    <font>
      <b/>
      <sz val="13"/>
      <color theme="0"/>
      <name val="メイリオ"/>
      <family val="3"/>
    </font>
    <font>
      <b/>
      <sz val="13"/>
      <color theme="0"/>
      <name val="Calibri"/>
      <family val="3"/>
    </font>
    <font>
      <sz val="13"/>
      <color theme="1"/>
      <name val="メイリオ"/>
      <family val="3"/>
    </font>
    <font>
      <sz val="12"/>
      <color theme="1"/>
      <name val="Calibri"/>
      <family val="3"/>
    </font>
    <font>
      <sz val="14"/>
      <color theme="1"/>
      <name val="メイリオ"/>
      <family val="3"/>
    </font>
    <font>
      <sz val="14"/>
      <color theme="1"/>
      <name val="Calibri"/>
      <family val="3"/>
    </font>
    <font>
      <b/>
      <sz val="14"/>
      <color theme="1"/>
      <name val="メイリオ"/>
      <family val="3"/>
    </font>
    <font>
      <b/>
      <sz val="14"/>
      <color theme="1"/>
      <name val="Calibri"/>
      <family val="3"/>
    </font>
    <font>
      <b/>
      <sz val="10"/>
      <color theme="0"/>
      <name val="メイリオ"/>
      <family val="3"/>
    </font>
    <font>
      <b/>
      <sz val="14"/>
      <color rgb="FFFF0000"/>
      <name val="メイリオ"/>
      <family val="3"/>
    </font>
    <font>
      <b/>
      <sz val="14"/>
      <color theme="0"/>
      <name val="メイリオ"/>
      <family val="3"/>
    </font>
    <font>
      <b/>
      <sz val="15"/>
      <color theme="0"/>
      <name val="メイリオ"/>
      <family val="3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9523E"/>
        <bgColor indexed="64"/>
      </patternFill>
    </fill>
    <fill>
      <patternFill patternType="solid">
        <fgColor rgb="FFD3C9B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A6988B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-0.4999699890613556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ck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indexed="9"/>
      </right>
      <top style="thin">
        <color indexed="9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3"/>
      </bottom>
    </border>
    <border>
      <left style="thin">
        <color indexed="9"/>
      </left>
      <right style="thin">
        <color indexed="23"/>
      </right>
      <top style="thin">
        <color indexed="9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theme="0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theme="0"/>
      </bottom>
    </border>
    <border>
      <left style="thin">
        <color indexed="2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indexed="23"/>
      </right>
      <top style="thin">
        <color theme="0"/>
      </top>
      <bottom style="thin">
        <color theme="0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ck">
        <color indexed="10"/>
      </top>
      <bottom style="thick">
        <color indexed="10"/>
      </bottom>
    </border>
    <border>
      <left style="thin"/>
      <right style="thin"/>
      <top>
        <color indexed="63"/>
      </top>
      <bottom style="thin"/>
    </border>
    <border>
      <left style="thin">
        <color theme="0"/>
      </left>
      <right style="thin"/>
      <top style="thin"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/>
      </top>
      <bottom style="thin"/>
    </border>
    <border>
      <left style="thin">
        <color indexed="23"/>
      </left>
      <right style="thin">
        <color indexed="23"/>
      </right>
      <top style="thin">
        <color theme="0"/>
      </top>
      <bottom style="thin">
        <color theme="0"/>
      </bottom>
    </border>
    <border>
      <left style="thin">
        <color indexed="23"/>
      </left>
      <right>
        <color indexed="63"/>
      </right>
      <top style="thin">
        <color theme="0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0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3"/>
      </bottom>
    </border>
    <border>
      <left style="thin">
        <color indexed="9"/>
      </left>
      <right style="thick">
        <color indexed="23"/>
      </right>
      <top style="thin">
        <color indexed="9"/>
      </top>
      <bottom style="thin">
        <color indexed="23"/>
      </bottom>
    </border>
    <border>
      <left style="thin"/>
      <right style="thin"/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9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 style="thick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 style="thick">
        <color indexed="23"/>
      </left>
      <right>
        <color indexed="63"/>
      </right>
      <top style="thin">
        <color indexed="9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23"/>
      </bottom>
    </border>
    <border>
      <left>
        <color indexed="63"/>
      </left>
      <right style="thick">
        <color indexed="23"/>
      </right>
      <top style="thin">
        <color indexed="9"/>
      </top>
      <bottom style="thin">
        <color indexed="23"/>
      </bottom>
    </border>
    <border>
      <left>
        <color indexed="63"/>
      </left>
      <right style="thick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ck">
        <color indexed="23"/>
      </right>
      <top style="thin">
        <color indexed="23"/>
      </top>
      <bottom style="thin">
        <color indexed="9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 style="thick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n"/>
      <top style="thick">
        <color indexed="10"/>
      </top>
      <bottom style="thick">
        <color indexed="1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>
        <color theme="0"/>
      </right>
      <top>
        <color indexed="63"/>
      </top>
      <bottom style="thin">
        <color theme="0"/>
      </bottom>
    </border>
    <border>
      <left style="thin"/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27" borderId="0" applyNumberFormat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68" fillId="0" borderId="3" applyNumberFormat="0" applyFill="0" applyAlignment="0" applyProtection="0"/>
    <xf numFmtId="0" fontId="69" fillId="29" borderId="0" applyNumberFormat="0" applyBorder="0" applyAlignment="0" applyProtection="0"/>
    <xf numFmtId="0" fontId="70" fillId="30" borderId="4" applyNumberFormat="0" applyAlignment="0" applyProtection="0"/>
    <xf numFmtId="0" fontId="7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0" borderId="9" applyNumberFormat="0" applyAlignment="0" applyProtection="0"/>
    <xf numFmtId="0" fontId="7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8" fillId="31" borderId="4" applyNumberFormat="0" applyAlignment="0" applyProtection="0"/>
    <xf numFmtId="0" fontId="3" fillId="0" borderId="0">
      <alignment vertical="center"/>
      <protection/>
    </xf>
    <xf numFmtId="198" fontId="25" fillId="0" borderId="0">
      <alignment/>
      <protection/>
    </xf>
    <xf numFmtId="0" fontId="9" fillId="0" borderId="0" applyNumberFormat="0" applyFill="0" applyBorder="0" applyAlignment="0" applyProtection="0"/>
    <xf numFmtId="0" fontId="79" fillId="32" borderId="0" applyNumberFormat="0" applyBorder="0" applyAlignment="0" applyProtection="0"/>
  </cellStyleXfs>
  <cellXfs count="288">
    <xf numFmtId="0" fontId="0" fillId="0" borderId="0" xfId="0" applyFont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4" fillId="33" borderId="0" xfId="63" applyFont="1" applyFill="1">
      <alignment vertical="center"/>
      <protection/>
    </xf>
    <xf numFmtId="0" fontId="4" fillId="33" borderId="0" xfId="63" applyFont="1" applyFill="1" applyBorder="1">
      <alignment vertical="center"/>
      <protection/>
    </xf>
    <xf numFmtId="0" fontId="5" fillId="33" borderId="0" xfId="63" applyFont="1" applyFill="1" applyBorder="1">
      <alignment vertical="center"/>
      <protection/>
    </xf>
    <xf numFmtId="0" fontId="5" fillId="33" borderId="10" xfId="63" applyFont="1" applyFill="1" applyBorder="1" applyAlignment="1">
      <alignment horizontal="center" vertical="center"/>
      <protection/>
    </xf>
    <xf numFmtId="38" fontId="4" fillId="34" borderId="10" xfId="52" applyFont="1" applyFill="1" applyBorder="1" applyAlignment="1">
      <alignment vertical="center" shrinkToFit="1"/>
    </xf>
    <xf numFmtId="0" fontId="6" fillId="33" borderId="0" xfId="63" applyFont="1" applyFill="1" applyBorder="1" applyAlignment="1">
      <alignment horizontal="center" vertical="center"/>
      <protection/>
    </xf>
    <xf numFmtId="0" fontId="10" fillId="33" borderId="0" xfId="0" applyFont="1" applyFill="1" applyAlignment="1">
      <alignment vertical="center"/>
    </xf>
    <xf numFmtId="0" fontId="5" fillId="33" borderId="11" xfId="63" applyNumberFormat="1" applyFont="1" applyFill="1" applyBorder="1" applyAlignment="1">
      <alignment horizontal="left" vertical="center"/>
      <protection/>
    </xf>
    <xf numFmtId="0" fontId="4" fillId="30" borderId="12" xfId="63" applyFont="1" applyFill="1" applyBorder="1">
      <alignment vertical="center"/>
      <protection/>
    </xf>
    <xf numFmtId="0" fontId="5" fillId="30" borderId="12" xfId="63" applyFont="1" applyFill="1" applyBorder="1">
      <alignment vertical="center"/>
      <protection/>
    </xf>
    <xf numFmtId="0" fontId="11" fillId="33" borderId="0" xfId="0" applyFont="1" applyFill="1" applyAlignment="1">
      <alignment vertical="center"/>
    </xf>
    <xf numFmtId="38" fontId="4" fillId="33" borderId="13" xfId="52" applyFont="1" applyFill="1" applyBorder="1" applyAlignment="1">
      <alignment horizontal="right" vertical="center" shrinkToFit="1"/>
    </xf>
    <xf numFmtId="38" fontId="4" fillId="33" borderId="13" xfId="52" applyFont="1" applyFill="1" applyBorder="1" applyAlignment="1">
      <alignment vertical="center" shrinkToFit="1"/>
    </xf>
    <xf numFmtId="38" fontId="4" fillId="33" borderId="14" xfId="52" applyFont="1" applyFill="1" applyBorder="1" applyAlignment="1">
      <alignment horizontal="right" vertical="center" shrinkToFit="1"/>
    </xf>
    <xf numFmtId="189" fontId="7" fillId="33" borderId="0" xfId="0" applyNumberFormat="1" applyFont="1" applyFill="1" applyAlignment="1">
      <alignment horizontal="center" vertical="center"/>
    </xf>
    <xf numFmtId="189" fontId="7" fillId="33" borderId="0" xfId="0" applyNumberFormat="1" applyFont="1" applyFill="1" applyAlignment="1">
      <alignment vertical="center"/>
    </xf>
    <xf numFmtId="0" fontId="12" fillId="33" borderId="0" xfId="0" applyFont="1" applyFill="1" applyAlignment="1">
      <alignment vertical="center"/>
    </xf>
    <xf numFmtId="0" fontId="4" fillId="33" borderId="0" xfId="63" applyFont="1" applyFill="1" applyBorder="1" applyAlignment="1">
      <alignment horizontal="center" vertical="center"/>
      <protection/>
    </xf>
    <xf numFmtId="0" fontId="5" fillId="33" borderId="0" xfId="63" applyFont="1" applyFill="1" applyBorder="1" applyAlignment="1">
      <alignment horizontal="center" vertical="center"/>
      <protection/>
    </xf>
    <xf numFmtId="38" fontId="4" fillId="33" borderId="0" xfId="63" applyNumberFormat="1" applyFont="1" applyFill="1" applyBorder="1">
      <alignment vertical="center"/>
      <protection/>
    </xf>
    <xf numFmtId="0" fontId="16" fillId="30" borderId="12" xfId="63" applyFont="1" applyFill="1" applyBorder="1">
      <alignment vertical="center"/>
      <protection/>
    </xf>
    <xf numFmtId="0" fontId="0" fillId="35" borderId="0" xfId="0" applyFill="1" applyAlignment="1">
      <alignment vertical="center"/>
    </xf>
    <xf numFmtId="38" fontId="7" fillId="33" borderId="15" xfId="50" applyFont="1" applyFill="1" applyBorder="1" applyAlignment="1">
      <alignment horizontal="right" vertical="center"/>
    </xf>
    <xf numFmtId="185" fontId="7" fillId="33" borderId="15" xfId="50" applyNumberFormat="1" applyFont="1" applyFill="1" applyBorder="1" applyAlignment="1">
      <alignment horizontal="right" vertical="center"/>
    </xf>
    <xf numFmtId="0" fontId="80" fillId="36" borderId="16" xfId="0" applyFont="1" applyFill="1" applyBorder="1" applyAlignment="1">
      <alignment horizontal="center" vertical="center"/>
    </xf>
    <xf numFmtId="0" fontId="80" fillId="36" borderId="17" xfId="0" applyFont="1" applyFill="1" applyBorder="1" applyAlignment="1">
      <alignment horizontal="center" vertical="center"/>
    </xf>
    <xf numFmtId="0" fontId="80" fillId="36" borderId="18" xfId="0" applyFont="1" applyFill="1" applyBorder="1" applyAlignment="1">
      <alignment horizontal="center" vertical="center"/>
    </xf>
    <xf numFmtId="0" fontId="80" fillId="36" borderId="19" xfId="0" applyFont="1" applyFill="1" applyBorder="1" applyAlignment="1">
      <alignment horizontal="center" vertical="center"/>
    </xf>
    <xf numFmtId="184" fontId="7" fillId="33" borderId="0" xfId="42" applyNumberFormat="1" applyFont="1" applyFill="1" applyAlignment="1">
      <alignment vertical="center"/>
    </xf>
    <xf numFmtId="0" fontId="17" fillId="37" borderId="10" xfId="0" applyFont="1" applyFill="1" applyBorder="1" applyAlignment="1">
      <alignment vertical="center"/>
    </xf>
    <xf numFmtId="0" fontId="15" fillId="37" borderId="10" xfId="0" applyFont="1" applyFill="1" applyBorder="1" applyAlignment="1">
      <alignment vertical="center"/>
    </xf>
    <xf numFmtId="0" fontId="7" fillId="37" borderId="20" xfId="0" applyFont="1" applyFill="1" applyBorder="1" applyAlignment="1">
      <alignment vertical="center"/>
    </xf>
    <xf numFmtId="0" fontId="7" fillId="37" borderId="21" xfId="0" applyFont="1" applyFill="1" applyBorder="1" applyAlignment="1">
      <alignment vertical="center"/>
    </xf>
    <xf numFmtId="0" fontId="7" fillId="37" borderId="22" xfId="0" applyFont="1" applyFill="1" applyBorder="1" applyAlignment="1">
      <alignment vertical="center"/>
    </xf>
    <xf numFmtId="0" fontId="7" fillId="37" borderId="23" xfId="0" applyFont="1" applyFill="1" applyBorder="1" applyAlignment="1">
      <alignment vertical="center"/>
    </xf>
    <xf numFmtId="0" fontId="7" fillId="33" borderId="24" xfId="0" applyFont="1" applyFill="1" applyBorder="1" applyAlignment="1">
      <alignment horizontal="left" vertical="center"/>
    </xf>
    <xf numFmtId="0" fontId="5" fillId="33" borderId="24" xfId="63" applyFont="1" applyFill="1" applyBorder="1">
      <alignment vertical="center"/>
      <protection/>
    </xf>
    <xf numFmtId="0" fontId="4" fillId="33" borderId="24" xfId="63" applyFont="1" applyFill="1" applyBorder="1">
      <alignment vertical="center"/>
      <protection/>
    </xf>
    <xf numFmtId="0" fontId="18" fillId="33" borderId="0" xfId="0" applyFont="1" applyFill="1" applyAlignment="1">
      <alignment vertical="center"/>
    </xf>
    <xf numFmtId="0" fontId="19" fillId="33" borderId="0" xfId="63" applyFont="1" applyFill="1" applyBorder="1">
      <alignment vertical="center"/>
      <protection/>
    </xf>
    <xf numFmtId="0" fontId="81" fillId="33" borderId="0" xfId="0" applyFont="1" applyFill="1" applyAlignment="1">
      <alignment vertical="center"/>
    </xf>
    <xf numFmtId="0" fontId="81" fillId="33" borderId="0" xfId="63" applyFont="1" applyFill="1" applyBorder="1">
      <alignment vertical="center"/>
      <protection/>
    </xf>
    <xf numFmtId="0" fontId="81" fillId="33" borderId="0" xfId="0" applyFont="1" applyFill="1" applyAlignment="1">
      <alignment horizontal="center" vertical="center"/>
    </xf>
    <xf numFmtId="0" fontId="19" fillId="33" borderId="0" xfId="63" applyFont="1" applyFill="1">
      <alignment vertical="center"/>
      <protection/>
    </xf>
    <xf numFmtId="0" fontId="20" fillId="33" borderId="0" xfId="63" applyFont="1" applyFill="1" applyBorder="1">
      <alignment vertical="center"/>
      <protection/>
    </xf>
    <xf numFmtId="187" fontId="19" fillId="33" borderId="0" xfId="63" applyNumberFormat="1" applyFont="1" applyFill="1" applyBorder="1">
      <alignment vertical="center"/>
      <protection/>
    </xf>
    <xf numFmtId="0" fontId="20" fillId="33" borderId="0" xfId="63" applyFont="1" applyFill="1" applyBorder="1" applyAlignment="1">
      <alignment vertical="center"/>
      <protection/>
    </xf>
    <xf numFmtId="0" fontId="19" fillId="33" borderId="0" xfId="63" applyFont="1" applyFill="1" applyBorder="1" applyAlignment="1">
      <alignment horizontal="left" vertical="center"/>
      <protection/>
    </xf>
    <xf numFmtId="0" fontId="21" fillId="33" borderId="0" xfId="0" applyFont="1" applyFill="1" applyAlignment="1">
      <alignment vertical="center"/>
    </xf>
    <xf numFmtId="0" fontId="20" fillId="33" borderId="0" xfId="0" applyFont="1" applyFill="1" applyAlignment="1">
      <alignment vertical="center"/>
    </xf>
    <xf numFmtId="0" fontId="7" fillId="33" borderId="24" xfId="0" applyFont="1" applyFill="1" applyBorder="1" applyAlignment="1">
      <alignment vertical="center"/>
    </xf>
    <xf numFmtId="10" fontId="4" fillId="34" borderId="24" xfId="63" applyNumberFormat="1" applyFont="1" applyFill="1" applyBorder="1">
      <alignment vertical="center"/>
      <protection/>
    </xf>
    <xf numFmtId="10" fontId="4" fillId="33" borderId="24" xfId="63" applyNumberFormat="1" applyFont="1" applyFill="1" applyBorder="1">
      <alignment vertical="center"/>
      <protection/>
    </xf>
    <xf numFmtId="195" fontId="4" fillId="34" borderId="24" xfId="50" applyNumberFormat="1" applyFont="1" applyFill="1" applyBorder="1" applyAlignment="1">
      <alignment vertical="center"/>
    </xf>
    <xf numFmtId="38" fontId="7" fillId="34" borderId="24" xfId="50" applyFont="1" applyFill="1" applyBorder="1" applyAlignment="1">
      <alignment vertical="center"/>
    </xf>
    <xf numFmtId="38" fontId="4" fillId="38" borderId="13" xfId="52" applyFont="1" applyFill="1" applyBorder="1" applyAlignment="1">
      <alignment vertical="center" shrinkToFit="1"/>
    </xf>
    <xf numFmtId="38" fontId="4" fillId="38" borderId="10" xfId="52" applyFont="1" applyFill="1" applyBorder="1" applyAlignment="1">
      <alignment vertical="center" shrinkToFit="1"/>
    </xf>
    <xf numFmtId="38" fontId="4" fillId="34" borderId="24" xfId="63" applyNumberFormat="1" applyFont="1" applyFill="1" applyBorder="1">
      <alignment vertical="center"/>
      <protection/>
    </xf>
    <xf numFmtId="184" fontId="4" fillId="33" borderId="24" xfId="42" applyNumberFormat="1" applyFont="1" applyFill="1" applyBorder="1" applyAlignment="1">
      <alignment vertical="center"/>
    </xf>
    <xf numFmtId="38" fontId="4" fillId="33" borderId="24" xfId="50" applyFont="1" applyFill="1" applyBorder="1" applyAlignment="1">
      <alignment vertical="center"/>
    </xf>
    <xf numFmtId="184" fontId="4" fillId="33" borderId="24" xfId="63" applyNumberFormat="1" applyFont="1" applyFill="1" applyBorder="1">
      <alignment vertical="center"/>
      <protection/>
    </xf>
    <xf numFmtId="0" fontId="4" fillId="37" borderId="24" xfId="63" applyFont="1" applyFill="1" applyBorder="1" applyAlignment="1">
      <alignment horizontal="center" vertical="center"/>
      <protection/>
    </xf>
    <xf numFmtId="0" fontId="7" fillId="37" borderId="24" xfId="0" applyFont="1" applyFill="1" applyBorder="1" applyAlignment="1">
      <alignment vertical="center"/>
    </xf>
    <xf numFmtId="0" fontId="7" fillId="37" borderId="25" xfId="0" applyFont="1" applyFill="1" applyBorder="1" applyAlignment="1">
      <alignment vertical="center"/>
    </xf>
    <xf numFmtId="0" fontId="5" fillId="37" borderId="26" xfId="63" applyFont="1" applyFill="1" applyBorder="1">
      <alignment vertical="center"/>
      <protection/>
    </xf>
    <xf numFmtId="0" fontId="7" fillId="37" borderId="27" xfId="0" applyFont="1" applyFill="1" applyBorder="1" applyAlignment="1">
      <alignment vertical="center"/>
    </xf>
    <xf numFmtId="0" fontId="22" fillId="33" borderId="0" xfId="0" applyFont="1" applyFill="1" applyAlignment="1">
      <alignment vertical="center"/>
    </xf>
    <xf numFmtId="0" fontId="82" fillId="36" borderId="24" xfId="63" applyFont="1" applyFill="1" applyBorder="1" applyAlignment="1">
      <alignment horizontal="center" vertical="center" wrapText="1"/>
      <protection/>
    </xf>
    <xf numFmtId="0" fontId="82" fillId="36" borderId="24" xfId="63" applyFont="1" applyFill="1" applyBorder="1" applyAlignment="1">
      <alignment horizontal="center" vertical="center"/>
      <protection/>
    </xf>
    <xf numFmtId="0" fontId="23" fillId="33" borderId="0" xfId="63" applyFont="1" applyFill="1" applyBorder="1" applyAlignment="1">
      <alignment horizontal="center" vertical="center"/>
      <protection/>
    </xf>
    <xf numFmtId="0" fontId="22" fillId="33" borderId="0" xfId="0" applyFont="1" applyFill="1" applyAlignment="1">
      <alignment horizontal="center" vertical="center"/>
    </xf>
    <xf numFmtId="38" fontId="4" fillId="35" borderId="24" xfId="63" applyNumberFormat="1" applyFont="1" applyFill="1" applyBorder="1">
      <alignment vertical="center"/>
      <protection/>
    </xf>
    <xf numFmtId="0" fontId="24" fillId="36" borderId="10" xfId="0" applyFont="1" applyFill="1" applyBorder="1" applyAlignment="1">
      <alignment vertical="center"/>
    </xf>
    <xf numFmtId="0" fontId="83" fillId="35" borderId="0" xfId="0" applyFont="1" applyFill="1" applyAlignment="1">
      <alignment vertical="center"/>
    </xf>
    <xf numFmtId="0" fontId="24" fillId="36" borderId="13" xfId="0" applyFont="1" applyFill="1" applyBorder="1" applyAlignment="1">
      <alignment vertical="center"/>
    </xf>
    <xf numFmtId="0" fontId="24" fillId="36" borderId="11" xfId="0" applyFont="1" applyFill="1" applyBorder="1" applyAlignment="1">
      <alignment vertical="center"/>
    </xf>
    <xf numFmtId="38" fontId="7" fillId="38" borderId="24" xfId="0" applyNumberFormat="1" applyFont="1" applyFill="1" applyBorder="1" applyAlignment="1">
      <alignment vertical="center"/>
    </xf>
    <xf numFmtId="0" fontId="4" fillId="37" borderId="24" xfId="0" applyFont="1" applyFill="1" applyBorder="1" applyAlignment="1">
      <alignment vertical="center"/>
    </xf>
    <xf numFmtId="198" fontId="84" fillId="36" borderId="0" xfId="64" applyNumberFormat="1" applyFont="1" applyFill="1" applyAlignment="1">
      <alignment horizontal="center" vertical="center" wrapText="1"/>
      <protection/>
    </xf>
    <xf numFmtId="198" fontId="4" fillId="39" borderId="0" xfId="64" applyNumberFormat="1" applyFont="1" applyFill="1" applyAlignment="1">
      <alignment horizontal="center" vertical="center" wrapText="1"/>
      <protection/>
    </xf>
    <xf numFmtId="10" fontId="4" fillId="40" borderId="0" xfId="42" applyNumberFormat="1" applyFont="1" applyFill="1" applyAlignment="1">
      <alignment horizontal="center" vertical="center"/>
    </xf>
    <xf numFmtId="0" fontId="85" fillId="35" borderId="0" xfId="0" applyFont="1" applyFill="1" applyAlignment="1">
      <alignment vertical="center"/>
    </xf>
    <xf numFmtId="184" fontId="4" fillId="40" borderId="0" xfId="42" applyNumberFormat="1" applyFont="1" applyFill="1" applyAlignment="1">
      <alignment horizontal="center" vertical="center"/>
    </xf>
    <xf numFmtId="0" fontId="84" fillId="36" borderId="28" xfId="0" applyFont="1" applyFill="1" applyBorder="1" applyAlignment="1">
      <alignment vertical="center"/>
    </xf>
    <xf numFmtId="0" fontId="64" fillId="36" borderId="28" xfId="0" applyFont="1" applyFill="1" applyBorder="1" applyAlignment="1">
      <alignment vertical="center"/>
    </xf>
    <xf numFmtId="0" fontId="84" fillId="36" borderId="29" xfId="0" applyFont="1" applyFill="1" applyBorder="1" applyAlignment="1">
      <alignment vertical="center"/>
    </xf>
    <xf numFmtId="0" fontId="64" fillId="36" borderId="29" xfId="0" applyFont="1" applyFill="1" applyBorder="1" applyAlignment="1">
      <alignment vertical="center"/>
    </xf>
    <xf numFmtId="0" fontId="86" fillId="36" borderId="29" xfId="0" applyFont="1" applyFill="1" applyBorder="1" applyAlignment="1">
      <alignment vertical="center"/>
    </xf>
    <xf numFmtId="0" fontId="87" fillId="36" borderId="29" xfId="0" applyFont="1" applyFill="1" applyBorder="1" applyAlignment="1">
      <alignment vertical="center"/>
    </xf>
    <xf numFmtId="0" fontId="86" fillId="36" borderId="30" xfId="0" applyFont="1" applyFill="1" applyBorder="1" applyAlignment="1">
      <alignment vertical="center"/>
    </xf>
    <xf numFmtId="0" fontId="87" fillId="36" borderId="30" xfId="0" applyFont="1" applyFill="1" applyBorder="1" applyAlignment="1">
      <alignment vertical="center"/>
    </xf>
    <xf numFmtId="0" fontId="7" fillId="33" borderId="0" xfId="0" applyFont="1" applyFill="1" applyAlignment="1">
      <alignment horizontal="right" vertical="center"/>
    </xf>
    <xf numFmtId="10" fontId="20" fillId="40" borderId="0" xfId="42" applyNumberFormat="1" applyFont="1" applyFill="1" applyAlignment="1">
      <alignment horizontal="center" vertical="center"/>
    </xf>
    <xf numFmtId="0" fontId="7" fillId="37" borderId="31" xfId="0" applyFont="1" applyFill="1" applyBorder="1" applyAlignment="1">
      <alignment vertical="center"/>
    </xf>
    <xf numFmtId="185" fontId="7" fillId="40" borderId="32" xfId="50" applyNumberFormat="1" applyFont="1" applyFill="1" applyBorder="1" applyAlignment="1">
      <alignment horizontal="right" vertical="center"/>
    </xf>
    <xf numFmtId="185" fontId="21" fillId="40" borderId="33" xfId="50" applyNumberFormat="1" applyFont="1" applyFill="1" applyBorder="1" applyAlignment="1">
      <alignment horizontal="right" vertical="center"/>
    </xf>
    <xf numFmtId="0" fontId="88" fillId="35" borderId="0" xfId="0" applyFont="1" applyFill="1" applyAlignment="1">
      <alignment vertical="center"/>
    </xf>
    <xf numFmtId="185" fontId="21" fillId="33" borderId="34" xfId="50" applyNumberFormat="1" applyFont="1" applyFill="1" applyBorder="1" applyAlignment="1">
      <alignment horizontal="right" vertical="center"/>
    </xf>
    <xf numFmtId="0" fontId="89" fillId="35" borderId="0" xfId="0" applyFont="1" applyFill="1" applyAlignment="1">
      <alignment vertical="center"/>
    </xf>
    <xf numFmtId="0" fontId="80" fillId="36" borderId="35" xfId="0" applyFont="1" applyFill="1" applyBorder="1" applyAlignment="1">
      <alignment horizontal="center" vertical="center"/>
    </xf>
    <xf numFmtId="0" fontId="80" fillId="36" borderId="36" xfId="0" applyFont="1" applyFill="1" applyBorder="1" applyAlignment="1">
      <alignment horizontal="center" vertical="center"/>
    </xf>
    <xf numFmtId="0" fontId="80" fillId="36" borderId="37" xfId="0" applyFont="1" applyFill="1" applyBorder="1" applyAlignment="1">
      <alignment horizontal="center" vertical="center"/>
    </xf>
    <xf numFmtId="0" fontId="80" fillId="36" borderId="38" xfId="0" applyFont="1" applyFill="1" applyBorder="1" applyAlignment="1">
      <alignment horizontal="center" vertical="center"/>
    </xf>
    <xf numFmtId="0" fontId="4" fillId="38" borderId="39" xfId="0" applyFont="1" applyFill="1" applyBorder="1" applyAlignment="1">
      <alignment vertical="center"/>
    </xf>
    <xf numFmtId="0" fontId="4" fillId="38" borderId="22" xfId="0" applyFont="1" applyFill="1" applyBorder="1" applyAlignment="1">
      <alignment vertical="center"/>
    </xf>
    <xf numFmtId="0" fontId="4" fillId="38" borderId="29" xfId="0" applyFont="1" applyFill="1" applyBorder="1" applyAlignment="1">
      <alignment vertical="center"/>
    </xf>
    <xf numFmtId="0" fontId="4" fillId="38" borderId="40" xfId="0" applyFont="1" applyFill="1" applyBorder="1" applyAlignment="1">
      <alignment vertical="center"/>
    </xf>
    <xf numFmtId="0" fontId="4" fillId="38" borderId="41" xfId="0" applyFont="1" applyFill="1" applyBorder="1" applyAlignment="1">
      <alignment vertical="center"/>
    </xf>
    <xf numFmtId="38" fontId="7" fillId="33" borderId="10" xfId="50" applyFont="1" applyFill="1" applyBorder="1" applyAlignment="1">
      <alignment horizontal="center" vertical="center" shrinkToFit="1"/>
    </xf>
    <xf numFmtId="38" fontId="7" fillId="33" borderId="10" xfId="0" applyNumberFormat="1" applyFont="1" applyFill="1" applyBorder="1" applyAlignment="1">
      <alignment horizontal="center" vertical="center" shrinkToFit="1"/>
    </xf>
    <xf numFmtId="0" fontId="13" fillId="33" borderId="0" xfId="0" applyFont="1" applyFill="1" applyAlignment="1">
      <alignment horizontal="center" vertical="center" shrinkToFit="1"/>
    </xf>
    <xf numFmtId="0" fontId="7" fillId="33" borderId="0" xfId="0" applyFont="1" applyFill="1" applyAlignment="1">
      <alignment vertical="center" shrinkToFit="1"/>
    </xf>
    <xf numFmtId="38" fontId="12" fillId="33" borderId="13" xfId="50" applyFont="1" applyFill="1" applyBorder="1" applyAlignment="1">
      <alignment horizontal="right" vertical="center" shrinkToFit="1"/>
    </xf>
    <xf numFmtId="188" fontId="12" fillId="33" borderId="42" xfId="0" applyNumberFormat="1" applyFont="1" applyFill="1" applyBorder="1" applyAlignment="1">
      <alignment horizontal="center" vertical="center" shrinkToFit="1"/>
    </xf>
    <xf numFmtId="38" fontId="12" fillId="33" borderId="11" xfId="50" applyFont="1" applyFill="1" applyBorder="1" applyAlignment="1">
      <alignment horizontal="right" vertical="center" shrinkToFit="1"/>
    </xf>
    <xf numFmtId="0" fontId="22" fillId="33" borderId="0" xfId="0" applyFont="1" applyFill="1" applyAlignment="1">
      <alignment vertical="center" shrinkToFit="1"/>
    </xf>
    <xf numFmtId="0" fontId="7" fillId="33" borderId="0" xfId="0" applyFont="1" applyFill="1" applyAlignment="1">
      <alignment horizontal="center" vertical="center" shrinkToFit="1"/>
    </xf>
    <xf numFmtId="38" fontId="21" fillId="30" borderId="13" xfId="0" applyNumberFormat="1" applyFont="1" applyFill="1" applyBorder="1" applyAlignment="1">
      <alignment horizontal="right" vertical="center" shrinkToFit="1"/>
    </xf>
    <xf numFmtId="0" fontId="21" fillId="30" borderId="42" xfId="0" applyFont="1" applyFill="1" applyBorder="1" applyAlignment="1">
      <alignment horizontal="center" vertical="center" shrinkToFit="1"/>
    </xf>
    <xf numFmtId="38" fontId="21" fillId="30" borderId="11" xfId="0" applyNumberFormat="1" applyFont="1" applyFill="1" applyBorder="1" applyAlignment="1">
      <alignment horizontal="right" vertical="center" shrinkToFit="1"/>
    </xf>
    <xf numFmtId="188" fontId="21" fillId="30" borderId="42" xfId="0" applyNumberFormat="1" applyFont="1" applyFill="1" applyBorder="1" applyAlignment="1">
      <alignment horizontal="center" vertical="center" shrinkToFit="1"/>
    </xf>
    <xf numFmtId="38" fontId="21" fillId="30" borderId="13" xfId="50" applyFont="1" applyFill="1" applyBorder="1" applyAlignment="1">
      <alignment horizontal="right" vertical="center" shrinkToFit="1"/>
    </xf>
    <xf numFmtId="38" fontId="21" fillId="30" borderId="11" xfId="50" applyFont="1" applyFill="1" applyBorder="1" applyAlignment="1">
      <alignment horizontal="right" vertical="center" shrinkToFit="1"/>
    </xf>
    <xf numFmtId="38" fontId="21" fillId="30" borderId="10" xfId="50" applyFont="1" applyFill="1" applyBorder="1" applyAlignment="1">
      <alignment horizontal="right" vertical="center" shrinkToFit="1"/>
    </xf>
    <xf numFmtId="0" fontId="18" fillId="33" borderId="0" xfId="0" applyFont="1" applyFill="1" applyAlignment="1">
      <alignment horizontal="center" vertical="center" shrinkToFit="1"/>
    </xf>
    <xf numFmtId="0" fontId="18" fillId="33" borderId="0" xfId="0" applyFont="1" applyFill="1" applyAlignment="1">
      <alignment vertical="center" shrinkToFit="1"/>
    </xf>
    <xf numFmtId="38" fontId="21" fillId="30" borderId="42" xfId="0" applyNumberFormat="1" applyFont="1" applyFill="1" applyBorder="1" applyAlignment="1">
      <alignment horizontal="right" vertical="center" shrinkToFit="1"/>
    </xf>
    <xf numFmtId="10" fontId="7" fillId="33" borderId="15" xfId="42" applyNumberFormat="1" applyFont="1" applyFill="1" applyBorder="1" applyAlignment="1">
      <alignment horizontal="center" vertical="center"/>
    </xf>
    <xf numFmtId="10" fontId="7" fillId="33" borderId="15" xfId="0" applyNumberFormat="1" applyFont="1" applyFill="1" applyBorder="1" applyAlignment="1">
      <alignment vertical="center"/>
    </xf>
    <xf numFmtId="184" fontId="7" fillId="33" borderId="15" xfId="42" applyNumberFormat="1" applyFont="1" applyFill="1" applyBorder="1" applyAlignment="1">
      <alignment vertical="center"/>
    </xf>
    <xf numFmtId="0" fontId="90" fillId="35" borderId="0" xfId="0" applyFont="1" applyFill="1" applyAlignment="1">
      <alignment vertical="center"/>
    </xf>
    <xf numFmtId="0" fontId="91" fillId="35" borderId="0" xfId="0" applyFont="1" applyFill="1" applyAlignment="1">
      <alignment vertical="center"/>
    </xf>
    <xf numFmtId="0" fontId="92" fillId="35" borderId="0" xfId="0" applyFont="1" applyFill="1" applyAlignment="1">
      <alignment vertical="center"/>
    </xf>
    <xf numFmtId="0" fontId="26" fillId="33" borderId="0" xfId="0" applyFont="1" applyFill="1" applyAlignment="1">
      <alignment vertical="center"/>
    </xf>
    <xf numFmtId="0" fontId="26" fillId="33" borderId="0" xfId="0" applyFont="1" applyFill="1" applyAlignment="1">
      <alignment horizontal="center" vertical="center"/>
    </xf>
    <xf numFmtId="0" fontId="93" fillId="35" borderId="0" xfId="0" applyFont="1" applyFill="1" applyAlignment="1">
      <alignment vertical="center"/>
    </xf>
    <xf numFmtId="0" fontId="11" fillId="33" borderId="0" xfId="0" applyFont="1" applyFill="1" applyAlignment="1">
      <alignment horizontal="center" vertical="center"/>
    </xf>
    <xf numFmtId="0" fontId="4" fillId="37" borderId="43" xfId="63" applyFont="1" applyFill="1" applyBorder="1">
      <alignment vertical="center"/>
      <protection/>
    </xf>
    <xf numFmtId="0" fontId="5" fillId="37" borderId="44" xfId="63" applyFont="1" applyFill="1" applyBorder="1">
      <alignment vertical="center"/>
      <protection/>
    </xf>
    <xf numFmtId="0" fontId="4" fillId="37" borderId="44" xfId="63" applyFont="1" applyFill="1" applyBorder="1">
      <alignment vertical="center"/>
      <protection/>
    </xf>
    <xf numFmtId="0" fontId="94" fillId="36" borderId="17" xfId="63" applyFont="1" applyFill="1" applyBorder="1" applyAlignment="1">
      <alignment horizontal="center" vertical="center"/>
      <protection/>
    </xf>
    <xf numFmtId="0" fontId="94" fillId="36" borderId="18" xfId="63" applyFont="1" applyFill="1" applyBorder="1" applyAlignment="1">
      <alignment horizontal="center" vertical="center"/>
      <protection/>
    </xf>
    <xf numFmtId="0" fontId="94" fillId="36" borderId="45" xfId="63" applyFont="1" applyFill="1" applyBorder="1" applyAlignment="1">
      <alignment horizontal="center" vertical="center"/>
      <protection/>
    </xf>
    <xf numFmtId="0" fontId="94" fillId="36" borderId="46" xfId="63" applyFont="1" applyFill="1" applyBorder="1" applyAlignment="1">
      <alignment horizontal="center" vertical="center"/>
      <protection/>
    </xf>
    <xf numFmtId="0" fontId="5" fillId="37" borderId="12" xfId="63" applyFont="1" applyFill="1" applyBorder="1">
      <alignment vertical="center"/>
      <protection/>
    </xf>
    <xf numFmtId="0" fontId="4" fillId="37" borderId="12" xfId="63" applyFont="1" applyFill="1" applyBorder="1">
      <alignment vertical="center"/>
      <protection/>
    </xf>
    <xf numFmtId="10" fontId="4" fillId="37" borderId="24" xfId="42" applyNumberFormat="1" applyFont="1" applyFill="1" applyBorder="1" applyAlignment="1">
      <alignment vertical="center"/>
    </xf>
    <xf numFmtId="0" fontId="86" fillId="36" borderId="0" xfId="0" applyFont="1" applyFill="1" applyAlignment="1">
      <alignment vertical="center"/>
    </xf>
    <xf numFmtId="0" fontId="86" fillId="36" borderId="0" xfId="63" applyFont="1" applyFill="1" applyBorder="1">
      <alignment vertical="center"/>
      <protection/>
    </xf>
    <xf numFmtId="10" fontId="86" fillId="36" borderId="0" xfId="42" applyNumberFormat="1" applyFont="1" applyFill="1" applyBorder="1" applyAlignment="1">
      <alignment vertical="center"/>
    </xf>
    <xf numFmtId="10" fontId="86" fillId="36" borderId="0" xfId="42" applyNumberFormat="1" applyFont="1" applyFill="1" applyAlignment="1">
      <alignment vertical="center"/>
    </xf>
    <xf numFmtId="0" fontId="81" fillId="36" borderId="0" xfId="63" applyFont="1" applyFill="1" applyBorder="1">
      <alignment vertical="center"/>
      <protection/>
    </xf>
    <xf numFmtId="38" fontId="4" fillId="41" borderId="14" xfId="52" applyFont="1" applyFill="1" applyBorder="1" applyAlignment="1">
      <alignment vertical="center" shrinkToFit="1"/>
    </xf>
    <xf numFmtId="0" fontId="4" fillId="37" borderId="12" xfId="0" applyFont="1" applyFill="1" applyBorder="1" applyAlignment="1">
      <alignment vertical="center"/>
    </xf>
    <xf numFmtId="0" fontId="20" fillId="37" borderId="43" xfId="63" applyFont="1" applyFill="1" applyBorder="1">
      <alignment vertical="center"/>
      <protection/>
    </xf>
    <xf numFmtId="0" fontId="19" fillId="37" borderId="43" xfId="63" applyFont="1" applyFill="1" applyBorder="1">
      <alignment vertical="center"/>
      <protection/>
    </xf>
    <xf numFmtId="0" fontId="20" fillId="37" borderId="44" xfId="63" applyFont="1" applyFill="1" applyBorder="1">
      <alignment vertical="center"/>
      <protection/>
    </xf>
    <xf numFmtId="0" fontId="19" fillId="37" borderId="44" xfId="63" applyFont="1" applyFill="1" applyBorder="1">
      <alignment vertical="center"/>
      <protection/>
    </xf>
    <xf numFmtId="38" fontId="4" fillId="34" borderId="24" xfId="50" applyFont="1" applyFill="1" applyBorder="1" applyAlignment="1">
      <alignment vertical="center"/>
    </xf>
    <xf numFmtId="0" fontId="5" fillId="33" borderId="25" xfId="63" applyFont="1" applyFill="1" applyBorder="1">
      <alignment vertical="center"/>
      <protection/>
    </xf>
    <xf numFmtId="0" fontId="4" fillId="33" borderId="26" xfId="63" applyFont="1" applyFill="1" applyBorder="1">
      <alignment vertical="center"/>
      <protection/>
    </xf>
    <xf numFmtId="38" fontId="4" fillId="35" borderId="24" xfId="50" applyFont="1" applyFill="1" applyBorder="1" applyAlignment="1">
      <alignment vertical="center"/>
    </xf>
    <xf numFmtId="185" fontId="7" fillId="33" borderId="34" xfId="50" applyNumberFormat="1" applyFont="1" applyFill="1" applyBorder="1" applyAlignment="1">
      <alignment horizontal="right" vertical="center"/>
    </xf>
    <xf numFmtId="38" fontId="12" fillId="42" borderId="25" xfId="0" applyNumberFormat="1" applyFont="1" applyFill="1" applyBorder="1" applyAlignment="1">
      <alignment vertical="center" shrinkToFit="1"/>
    </xf>
    <xf numFmtId="38" fontId="12" fillId="42" borderId="27" xfId="0" applyNumberFormat="1" applyFont="1" applyFill="1" applyBorder="1" applyAlignment="1">
      <alignment horizontal="center" vertical="center" shrinkToFit="1"/>
    </xf>
    <xf numFmtId="38" fontId="12" fillId="42" borderId="26" xfId="0" applyNumberFormat="1" applyFont="1" applyFill="1" applyBorder="1" applyAlignment="1">
      <alignment vertical="center" shrinkToFit="1"/>
    </xf>
    <xf numFmtId="0" fontId="26" fillId="33" borderId="0" xfId="0" applyFont="1" applyFill="1" applyAlignment="1">
      <alignment vertical="center"/>
    </xf>
    <xf numFmtId="38" fontId="21" fillId="37" borderId="47" xfId="0" applyNumberFormat="1" applyFont="1" applyFill="1" applyBorder="1" applyAlignment="1">
      <alignment vertical="center" shrinkToFit="1"/>
    </xf>
    <xf numFmtId="0" fontId="7" fillId="33" borderId="0" xfId="0" applyFont="1" applyFill="1" applyBorder="1" applyAlignment="1">
      <alignment vertical="center"/>
    </xf>
    <xf numFmtId="0" fontId="7" fillId="33" borderId="48" xfId="0" applyFont="1" applyFill="1" applyBorder="1" applyAlignment="1">
      <alignment vertical="center"/>
    </xf>
    <xf numFmtId="0" fontId="7" fillId="33" borderId="32" xfId="0" applyFont="1" applyFill="1" applyBorder="1" applyAlignment="1">
      <alignment horizontal="center" vertical="center"/>
    </xf>
    <xf numFmtId="10" fontId="7" fillId="33" borderId="32" xfId="0" applyNumberFormat="1" applyFont="1" applyFill="1" applyBorder="1" applyAlignment="1">
      <alignment vertical="center"/>
    </xf>
    <xf numFmtId="0" fontId="31" fillId="33" borderId="0" xfId="63" applyFont="1" applyFill="1" applyBorder="1">
      <alignment vertical="center"/>
      <protection/>
    </xf>
    <xf numFmtId="0" fontId="84" fillId="43" borderId="29" xfId="0" applyFont="1" applyFill="1" applyBorder="1" applyAlignment="1">
      <alignment vertical="center"/>
    </xf>
    <xf numFmtId="0" fontId="64" fillId="43" borderId="29" xfId="0" applyFont="1" applyFill="1" applyBorder="1" applyAlignment="1">
      <alignment vertical="center"/>
    </xf>
    <xf numFmtId="199" fontId="14" fillId="44" borderId="49" xfId="50" applyNumberFormat="1" applyFont="1" applyFill="1" applyBorder="1" applyAlignment="1">
      <alignment horizontal="center" vertical="center"/>
    </xf>
    <xf numFmtId="199" fontId="14" fillId="44" borderId="50" xfId="50" applyNumberFormat="1" applyFont="1" applyFill="1" applyBorder="1" applyAlignment="1">
      <alignment horizontal="center" vertical="center"/>
    </xf>
    <xf numFmtId="199" fontId="14" fillId="44" borderId="51" xfId="50" applyNumberFormat="1" applyFont="1" applyFill="1" applyBorder="1" applyAlignment="1">
      <alignment horizontal="center" vertical="center"/>
    </xf>
    <xf numFmtId="199" fontId="14" fillId="44" borderId="52" xfId="50" applyNumberFormat="1" applyFont="1" applyFill="1" applyBorder="1" applyAlignment="1">
      <alignment horizontal="center" vertical="center"/>
    </xf>
    <xf numFmtId="199" fontId="14" fillId="44" borderId="53" xfId="50" applyNumberFormat="1" applyFont="1" applyFill="1" applyBorder="1" applyAlignment="1">
      <alignment horizontal="center" vertical="center"/>
    </xf>
    <xf numFmtId="199" fontId="14" fillId="44" borderId="49" xfId="50" applyNumberFormat="1" applyFont="1" applyFill="1" applyBorder="1" applyAlignment="1">
      <alignment horizontal="center" vertical="center" shrinkToFit="1"/>
    </xf>
    <xf numFmtId="199" fontId="14" fillId="44" borderId="50" xfId="0" applyNumberFormat="1" applyFont="1" applyFill="1" applyBorder="1" applyAlignment="1">
      <alignment horizontal="center" vertical="center" shrinkToFit="1"/>
    </xf>
    <xf numFmtId="199" fontId="14" fillId="44" borderId="52" xfId="50" applyNumberFormat="1" applyFont="1" applyFill="1" applyBorder="1" applyAlignment="1">
      <alignment horizontal="center" vertical="center" shrinkToFit="1"/>
    </xf>
    <xf numFmtId="199" fontId="14" fillId="44" borderId="51" xfId="50" applyNumberFormat="1" applyFont="1" applyFill="1" applyBorder="1" applyAlignment="1">
      <alignment horizontal="center" vertical="center" shrinkToFit="1"/>
    </xf>
    <xf numFmtId="199" fontId="14" fillId="44" borderId="50" xfId="50" applyNumberFormat="1" applyFont="1" applyFill="1" applyBorder="1" applyAlignment="1">
      <alignment horizontal="center" vertical="center" shrinkToFit="1"/>
    </xf>
    <xf numFmtId="199" fontId="14" fillId="44" borderId="53" xfId="50" applyNumberFormat="1" applyFont="1" applyFill="1" applyBorder="1" applyAlignment="1">
      <alignment horizontal="center" vertical="center" shrinkToFit="1"/>
    </xf>
    <xf numFmtId="0" fontId="4" fillId="33" borderId="54" xfId="63" applyFont="1" applyFill="1" applyBorder="1">
      <alignment vertical="center"/>
      <protection/>
    </xf>
    <xf numFmtId="0" fontId="95" fillId="33" borderId="0" xfId="0" applyFont="1" applyFill="1" applyAlignment="1">
      <alignment vertical="center"/>
    </xf>
    <xf numFmtId="40" fontId="4" fillId="34" borderId="10" xfId="50" applyNumberFormat="1" applyFont="1" applyFill="1" applyBorder="1" applyAlignment="1">
      <alignment vertical="center"/>
    </xf>
    <xf numFmtId="185" fontId="7" fillId="45" borderId="15" xfId="50" applyNumberFormat="1" applyFont="1" applyFill="1" applyBorder="1" applyAlignment="1">
      <alignment horizontal="right" vertical="center"/>
    </xf>
    <xf numFmtId="10" fontId="7" fillId="33" borderId="15" xfId="42" applyNumberFormat="1" applyFont="1" applyFill="1" applyBorder="1" applyAlignment="1">
      <alignment vertical="center"/>
    </xf>
    <xf numFmtId="0" fontId="96" fillId="36" borderId="55" xfId="63" applyFont="1" applyFill="1" applyBorder="1" applyAlignment="1">
      <alignment horizontal="center" vertical="center"/>
      <protection/>
    </xf>
    <xf numFmtId="0" fontId="96" fillId="36" borderId="56" xfId="63" applyFont="1" applyFill="1" applyBorder="1" applyAlignment="1">
      <alignment horizontal="center" vertical="center"/>
      <protection/>
    </xf>
    <xf numFmtId="0" fontId="18" fillId="34" borderId="57" xfId="0" applyFont="1" applyFill="1" applyBorder="1" applyAlignment="1">
      <alignment horizontal="center" vertical="center"/>
    </xf>
    <xf numFmtId="0" fontId="18" fillId="34" borderId="58" xfId="0" applyFont="1" applyFill="1" applyBorder="1" applyAlignment="1">
      <alignment horizontal="center" vertical="center"/>
    </xf>
    <xf numFmtId="0" fontId="18" fillId="34" borderId="59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left" vertical="center"/>
    </xf>
    <xf numFmtId="0" fontId="7" fillId="33" borderId="27" xfId="0" applyFont="1" applyFill="1" applyBorder="1" applyAlignment="1">
      <alignment horizontal="left" vertical="center"/>
    </xf>
    <xf numFmtId="0" fontId="7" fillId="33" borderId="26" xfId="0" applyFont="1" applyFill="1" applyBorder="1" applyAlignment="1">
      <alignment horizontal="left" vertical="center"/>
    </xf>
    <xf numFmtId="38" fontId="4" fillId="34" borderId="42" xfId="52" applyFont="1" applyFill="1" applyBorder="1" applyAlignment="1">
      <alignment horizontal="center" vertical="center" shrinkToFit="1"/>
    </xf>
    <xf numFmtId="38" fontId="4" fillId="34" borderId="60" xfId="52" applyFont="1" applyFill="1" applyBorder="1" applyAlignment="1">
      <alignment horizontal="center" vertical="center" shrinkToFit="1"/>
    </xf>
    <xf numFmtId="38" fontId="4" fillId="30" borderId="42" xfId="52" applyFont="1" applyFill="1" applyBorder="1" applyAlignment="1">
      <alignment horizontal="center" vertical="center" shrinkToFit="1"/>
    </xf>
    <xf numFmtId="38" fontId="4" fillId="30" borderId="60" xfId="52" applyFont="1" applyFill="1" applyBorder="1" applyAlignment="1">
      <alignment horizontal="center" vertical="center" shrinkToFit="1"/>
    </xf>
    <xf numFmtId="0" fontId="96" fillId="46" borderId="0" xfId="0" applyFont="1" applyFill="1" applyAlignment="1">
      <alignment horizontal="center" vertical="center"/>
    </xf>
    <xf numFmtId="0" fontId="96" fillId="36" borderId="61" xfId="63" applyFont="1" applyFill="1" applyBorder="1" applyAlignment="1">
      <alignment horizontal="center" vertical="center"/>
      <protection/>
    </xf>
    <xf numFmtId="0" fontId="82" fillId="36" borderId="13" xfId="63" applyFont="1" applyFill="1" applyBorder="1" applyAlignment="1">
      <alignment horizontal="center" vertical="center"/>
      <protection/>
    </xf>
    <xf numFmtId="0" fontId="82" fillId="36" borderId="42" xfId="63" applyFont="1" applyFill="1" applyBorder="1" applyAlignment="1">
      <alignment horizontal="center" vertical="center"/>
      <protection/>
    </xf>
    <xf numFmtId="0" fontId="82" fillId="36" borderId="60" xfId="63" applyFont="1" applyFill="1" applyBorder="1" applyAlignment="1">
      <alignment horizontal="center" vertical="center"/>
      <protection/>
    </xf>
    <xf numFmtId="0" fontId="5" fillId="33" borderId="13" xfId="63" applyNumberFormat="1" applyFont="1" applyFill="1" applyBorder="1" applyAlignment="1">
      <alignment horizontal="center" vertical="center"/>
      <protection/>
    </xf>
    <xf numFmtId="0" fontId="5" fillId="33" borderId="42" xfId="63" applyNumberFormat="1" applyFont="1" applyFill="1" applyBorder="1" applyAlignment="1">
      <alignment horizontal="center" vertical="center"/>
      <protection/>
    </xf>
    <xf numFmtId="38" fontId="7" fillId="33" borderId="42" xfId="0" applyNumberFormat="1" applyFont="1" applyFill="1" applyBorder="1" applyAlignment="1">
      <alignment horizontal="center" vertical="center"/>
    </xf>
    <xf numFmtId="38" fontId="7" fillId="33" borderId="60" xfId="0" applyNumberFormat="1" applyFont="1" applyFill="1" applyBorder="1" applyAlignment="1">
      <alignment horizontal="center" vertical="center"/>
    </xf>
    <xf numFmtId="38" fontId="4" fillId="30" borderId="42" xfId="50" applyFont="1" applyFill="1" applyBorder="1" applyAlignment="1">
      <alignment horizontal="center" vertical="center"/>
    </xf>
    <xf numFmtId="38" fontId="4" fillId="30" borderId="60" xfId="50" applyFont="1" applyFill="1" applyBorder="1" applyAlignment="1">
      <alignment horizontal="center" vertical="center"/>
    </xf>
    <xf numFmtId="0" fontId="7" fillId="37" borderId="54" xfId="0" applyFont="1" applyFill="1" applyBorder="1" applyAlignment="1">
      <alignment horizontal="left" vertical="center"/>
    </xf>
    <xf numFmtId="0" fontId="7" fillId="37" borderId="27" xfId="0" applyFont="1" applyFill="1" applyBorder="1" applyAlignment="1">
      <alignment horizontal="left" vertical="center"/>
    </xf>
    <xf numFmtId="0" fontId="7" fillId="37" borderId="26" xfId="0" applyFont="1" applyFill="1" applyBorder="1" applyAlignment="1">
      <alignment horizontal="left" vertical="center"/>
    </xf>
    <xf numFmtId="0" fontId="7" fillId="37" borderId="62" xfId="0" applyFont="1" applyFill="1" applyBorder="1" applyAlignment="1">
      <alignment horizontal="center" vertical="center"/>
    </xf>
    <xf numFmtId="0" fontId="7" fillId="37" borderId="63" xfId="0" applyFont="1" applyFill="1" applyBorder="1" applyAlignment="1">
      <alignment horizontal="center" vertical="center"/>
    </xf>
    <xf numFmtId="0" fontId="5" fillId="34" borderId="13" xfId="63" applyNumberFormat="1" applyFont="1" applyFill="1" applyBorder="1" applyAlignment="1">
      <alignment horizontal="center" vertical="center"/>
      <protection/>
    </xf>
    <xf numFmtId="0" fontId="5" fillId="34" borderId="42" xfId="63" applyNumberFormat="1" applyFont="1" applyFill="1" applyBorder="1" applyAlignment="1">
      <alignment horizontal="center" vertical="center"/>
      <protection/>
    </xf>
    <xf numFmtId="0" fontId="82" fillId="36" borderId="25" xfId="0" applyFont="1" applyFill="1" applyBorder="1" applyAlignment="1">
      <alignment horizontal="center" vertical="center"/>
    </xf>
    <xf numFmtId="0" fontId="82" fillId="36" borderId="27" xfId="0" applyFont="1" applyFill="1" applyBorder="1" applyAlignment="1">
      <alignment horizontal="center" vertical="center"/>
    </xf>
    <xf numFmtId="0" fontId="82" fillId="36" borderId="26" xfId="0" applyFont="1" applyFill="1" applyBorder="1" applyAlignment="1">
      <alignment horizontal="center" vertical="center"/>
    </xf>
    <xf numFmtId="0" fontId="4" fillId="37" borderId="25" xfId="0" applyFont="1" applyFill="1" applyBorder="1" applyAlignment="1">
      <alignment horizontal="left" vertical="center"/>
    </xf>
    <xf numFmtId="0" fontId="4" fillId="37" borderId="27" xfId="0" applyFont="1" applyFill="1" applyBorder="1" applyAlignment="1">
      <alignment horizontal="left" vertical="center"/>
    </xf>
    <xf numFmtId="0" fontId="4" fillId="37" borderId="26" xfId="0" applyFont="1" applyFill="1" applyBorder="1" applyAlignment="1">
      <alignment horizontal="left" vertical="center"/>
    </xf>
    <xf numFmtId="38" fontId="19" fillId="34" borderId="42" xfId="50" applyFont="1" applyFill="1" applyBorder="1" applyAlignment="1">
      <alignment horizontal="center" vertical="center" shrinkToFit="1"/>
    </xf>
    <xf numFmtId="38" fontId="19" fillId="34" borderId="60" xfId="50" applyFont="1" applyFill="1" applyBorder="1" applyAlignment="1">
      <alignment horizontal="center" vertical="center" shrinkToFit="1"/>
    </xf>
    <xf numFmtId="38" fontId="94" fillId="36" borderId="64" xfId="63" applyNumberFormat="1" applyFont="1" applyFill="1" applyBorder="1" applyAlignment="1">
      <alignment horizontal="center" vertical="center"/>
      <protection/>
    </xf>
    <xf numFmtId="38" fontId="94" fillId="36" borderId="56" xfId="63" applyNumberFormat="1" applyFont="1" applyFill="1" applyBorder="1" applyAlignment="1">
      <alignment horizontal="center" vertical="center"/>
      <protection/>
    </xf>
    <xf numFmtId="38" fontId="94" fillId="36" borderId="61" xfId="63" applyNumberFormat="1" applyFont="1" applyFill="1" applyBorder="1" applyAlignment="1">
      <alignment horizontal="center" vertical="center"/>
      <protection/>
    </xf>
    <xf numFmtId="38" fontId="19" fillId="34" borderId="65" xfId="50" applyFont="1" applyFill="1" applyBorder="1" applyAlignment="1">
      <alignment horizontal="center" vertical="center" shrinkToFit="1"/>
    </xf>
    <xf numFmtId="38" fontId="4" fillId="33" borderId="42" xfId="50" applyFont="1" applyFill="1" applyBorder="1" applyAlignment="1">
      <alignment horizontal="center" vertical="center"/>
    </xf>
    <xf numFmtId="38" fontId="4" fillId="33" borderId="60" xfId="50" applyFont="1" applyFill="1" applyBorder="1" applyAlignment="1">
      <alignment horizontal="center" vertical="center"/>
    </xf>
    <xf numFmtId="38" fontId="4" fillId="34" borderId="42" xfId="50" applyFont="1" applyFill="1" applyBorder="1" applyAlignment="1">
      <alignment horizontal="center" vertical="center"/>
    </xf>
    <xf numFmtId="38" fontId="4" fillId="34" borderId="60" xfId="50" applyFont="1" applyFill="1" applyBorder="1" applyAlignment="1">
      <alignment horizontal="center" vertical="center"/>
    </xf>
    <xf numFmtId="38" fontId="96" fillId="36" borderId="64" xfId="63" applyNumberFormat="1" applyFont="1" applyFill="1" applyBorder="1" applyAlignment="1">
      <alignment horizontal="center" vertical="center"/>
      <protection/>
    </xf>
    <xf numFmtId="38" fontId="96" fillId="36" borderId="56" xfId="63" applyNumberFormat="1" applyFont="1" applyFill="1" applyBorder="1" applyAlignment="1">
      <alignment horizontal="center" vertical="center"/>
      <protection/>
    </xf>
    <xf numFmtId="38" fontId="96" fillId="36" borderId="61" xfId="63" applyNumberFormat="1" applyFont="1" applyFill="1" applyBorder="1" applyAlignment="1">
      <alignment horizontal="center" vertical="center"/>
      <protection/>
    </xf>
    <xf numFmtId="38" fontId="4" fillId="34" borderId="65" xfId="5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38" fontId="7" fillId="33" borderId="15" xfId="0" applyNumberFormat="1" applyFont="1" applyFill="1" applyBorder="1" applyAlignment="1">
      <alignment horizontal="center" vertical="center"/>
    </xf>
    <xf numFmtId="38" fontId="7" fillId="40" borderId="28" xfId="50" applyFont="1" applyFill="1" applyBorder="1" applyAlignment="1">
      <alignment horizontal="right" vertical="center"/>
    </xf>
    <xf numFmtId="10" fontId="7" fillId="40" borderId="29" xfId="42" applyNumberFormat="1" applyFont="1" applyFill="1" applyBorder="1" applyAlignment="1">
      <alignment horizontal="right" vertical="center"/>
    </xf>
    <xf numFmtId="0" fontId="7" fillId="37" borderId="66" xfId="0" applyFont="1" applyFill="1" applyBorder="1" applyAlignment="1">
      <alignment horizontal="center" vertical="center"/>
    </xf>
    <xf numFmtId="0" fontId="7" fillId="37" borderId="0" xfId="0" applyFont="1" applyFill="1" applyBorder="1" applyAlignment="1">
      <alignment horizontal="center" vertical="center"/>
    </xf>
    <xf numFmtId="0" fontId="7" fillId="37" borderId="48" xfId="0" applyFont="1" applyFill="1" applyBorder="1" applyAlignment="1">
      <alignment horizontal="center" vertical="center"/>
    </xf>
    <xf numFmtId="0" fontId="21" fillId="37" borderId="67" xfId="0" applyFont="1" applyFill="1" applyBorder="1" applyAlignment="1">
      <alignment horizontal="center" vertical="center"/>
    </xf>
    <xf numFmtId="0" fontId="21" fillId="37" borderId="68" xfId="0" applyFont="1" applyFill="1" applyBorder="1" applyAlignment="1">
      <alignment horizontal="center" vertical="center"/>
    </xf>
    <xf numFmtId="0" fontId="21" fillId="37" borderId="69" xfId="0" applyFont="1" applyFill="1" applyBorder="1" applyAlignment="1">
      <alignment horizontal="center" vertical="center"/>
    </xf>
    <xf numFmtId="38" fontId="7" fillId="40" borderId="29" xfId="0" applyNumberFormat="1" applyFont="1" applyFill="1" applyBorder="1" applyAlignment="1">
      <alignment horizontal="right" vertical="center"/>
    </xf>
    <xf numFmtId="38" fontId="21" fillId="40" borderId="29" xfId="0" applyNumberFormat="1" applyFont="1" applyFill="1" applyBorder="1" applyAlignment="1">
      <alignment horizontal="right" vertical="center"/>
    </xf>
    <xf numFmtId="38" fontId="21" fillId="40" borderId="30" xfId="50" applyFont="1" applyFill="1" applyBorder="1" applyAlignment="1">
      <alignment horizontal="right" vertical="center"/>
    </xf>
    <xf numFmtId="0" fontId="80" fillId="36" borderId="70" xfId="0" applyFont="1" applyFill="1" applyBorder="1" applyAlignment="1">
      <alignment horizontal="center" vertical="center"/>
    </xf>
    <xf numFmtId="0" fontId="80" fillId="36" borderId="71" xfId="0" applyFont="1" applyFill="1" applyBorder="1" applyAlignment="1">
      <alignment horizontal="center" vertical="center"/>
    </xf>
    <xf numFmtId="38" fontId="7" fillId="37" borderId="49" xfId="0" applyNumberFormat="1" applyFont="1" applyFill="1" applyBorder="1" applyAlignment="1">
      <alignment horizontal="center" vertical="center"/>
    </xf>
    <xf numFmtId="0" fontId="7" fillId="37" borderId="50" xfId="0" applyFont="1" applyFill="1" applyBorder="1" applyAlignment="1">
      <alignment horizontal="center" vertical="center"/>
    </xf>
    <xf numFmtId="38" fontId="7" fillId="37" borderId="72" xfId="0" applyNumberFormat="1" applyFont="1" applyFill="1" applyBorder="1" applyAlignment="1">
      <alignment horizontal="center" vertical="center" shrinkToFit="1"/>
    </xf>
    <xf numFmtId="38" fontId="7" fillId="37" borderId="73" xfId="0" applyNumberFormat="1" applyFont="1" applyFill="1" applyBorder="1" applyAlignment="1">
      <alignment horizontal="center" vertical="center" shrinkToFit="1"/>
    </xf>
    <xf numFmtId="38" fontId="21" fillId="37" borderId="74" xfId="0" applyNumberFormat="1" applyFont="1" applyFill="1" applyBorder="1" applyAlignment="1">
      <alignment horizontal="center" vertical="center" shrinkToFit="1"/>
    </xf>
    <xf numFmtId="38" fontId="21" fillId="37" borderId="75" xfId="0" applyNumberFormat="1" applyFont="1" applyFill="1" applyBorder="1" applyAlignment="1">
      <alignment horizontal="center" vertical="center" shrinkToFit="1"/>
    </xf>
    <xf numFmtId="38" fontId="7" fillId="33" borderId="10" xfId="0" applyNumberFormat="1" applyFont="1" applyFill="1" applyBorder="1" applyAlignment="1">
      <alignment horizontal="center" vertical="center" shrinkToFit="1"/>
    </xf>
    <xf numFmtId="0" fontId="80" fillId="36" borderId="76" xfId="0" applyFont="1" applyFill="1" applyBorder="1" applyAlignment="1">
      <alignment horizontal="center" vertical="center"/>
    </xf>
    <xf numFmtId="0" fontId="80" fillId="36" borderId="77" xfId="0" applyFont="1" applyFill="1" applyBorder="1" applyAlignment="1">
      <alignment horizontal="center" vertical="center"/>
    </xf>
    <xf numFmtId="0" fontId="13" fillId="33" borderId="78" xfId="0" applyFont="1" applyFill="1" applyBorder="1" applyAlignment="1">
      <alignment horizontal="center" vertical="center" shrinkToFit="1"/>
    </xf>
    <xf numFmtId="198" fontId="4" fillId="35" borderId="0" xfId="64" applyNumberFormat="1" applyFont="1" applyFill="1" applyAlignment="1">
      <alignment horizontal="center" vertical="center"/>
      <protection/>
    </xf>
    <xf numFmtId="0" fontId="97" fillId="36" borderId="26" xfId="0" applyFont="1" applyFill="1" applyBorder="1" applyAlignment="1">
      <alignment horizontal="center" vertical="center"/>
    </xf>
    <xf numFmtId="0" fontId="97" fillId="36" borderId="24" xfId="0" applyFont="1" applyFill="1" applyBorder="1" applyAlignment="1">
      <alignment horizontal="center" vertical="center"/>
    </xf>
    <xf numFmtId="0" fontId="92" fillId="37" borderId="25" xfId="0" applyFont="1" applyFill="1" applyBorder="1" applyAlignment="1">
      <alignment horizontal="center" vertical="center"/>
    </xf>
    <xf numFmtId="0" fontId="92" fillId="37" borderId="27" xfId="0" applyFont="1" applyFill="1" applyBorder="1" applyAlignment="1">
      <alignment horizontal="center" vertical="center"/>
    </xf>
    <xf numFmtId="0" fontId="92" fillId="37" borderId="26" xfId="0" applyFont="1" applyFill="1" applyBorder="1" applyAlignment="1">
      <alignment horizontal="center" vertical="center"/>
    </xf>
    <xf numFmtId="0" fontId="92" fillId="37" borderId="24" xfId="0" applyFont="1" applyFill="1" applyBorder="1" applyAlignment="1">
      <alignment horizontal="center" vertical="center"/>
    </xf>
    <xf numFmtId="0" fontId="11" fillId="37" borderId="24" xfId="0" applyFont="1" applyFill="1" applyBorder="1" applyAlignment="1">
      <alignment horizontal="center" vertical="center"/>
    </xf>
    <xf numFmtId="0" fontId="97" fillId="36" borderId="79" xfId="0" applyFont="1" applyFill="1" applyBorder="1" applyAlignment="1">
      <alignment horizontal="center" vertical="center"/>
    </xf>
    <xf numFmtId="0" fontId="97" fillId="36" borderId="80" xfId="0" applyFont="1" applyFill="1" applyBorder="1" applyAlignment="1">
      <alignment horizontal="center" vertical="center"/>
    </xf>
    <xf numFmtId="0" fontId="7" fillId="33" borderId="81" xfId="0" applyFont="1" applyFill="1" applyBorder="1" applyAlignment="1">
      <alignment vertical="center"/>
    </xf>
    <xf numFmtId="0" fontId="7" fillId="33" borderId="82" xfId="0" applyFont="1" applyFill="1" applyBorder="1" applyAlignment="1">
      <alignment vertical="center"/>
    </xf>
    <xf numFmtId="0" fontId="7" fillId="33" borderId="25" xfId="0" applyFont="1" applyFill="1" applyBorder="1" applyAlignment="1">
      <alignment vertical="center"/>
    </xf>
    <xf numFmtId="10" fontId="7" fillId="33" borderId="63" xfId="0" applyNumberFormat="1" applyFont="1" applyFill="1" applyBorder="1" applyAlignment="1">
      <alignment horizontal="center" vertical="center"/>
    </xf>
    <xf numFmtId="184" fontId="7" fillId="33" borderId="63" xfId="0" applyNumberFormat="1" applyFont="1" applyFill="1" applyBorder="1" applyAlignment="1">
      <alignment horizontal="center" vertical="center"/>
    </xf>
    <xf numFmtId="0" fontId="4" fillId="33" borderId="24" xfId="63" applyFont="1" applyFill="1" applyBorder="1" applyAlignment="1">
      <alignment horizontal="center" vertical="center" shrinkToFit="1"/>
      <protection/>
    </xf>
    <xf numFmtId="0" fontId="7" fillId="33" borderId="24" xfId="0" applyFont="1" applyFill="1" applyBorder="1" applyAlignment="1">
      <alignment horizontal="center" vertical="center" shrinkToFit="1"/>
    </xf>
    <xf numFmtId="10" fontId="7" fillId="33" borderId="63" xfId="42" applyNumberFormat="1" applyFont="1" applyFill="1" applyBorder="1" applyAlignment="1">
      <alignment horizontal="center" vertical="center"/>
    </xf>
    <xf numFmtId="184" fontId="4" fillId="33" borderId="0" xfId="42" applyNumberFormat="1" applyFont="1" applyFill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2004-09-02 Valuation Model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類似会社</a:t>
            </a: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EV/EBITDA</a:t>
            </a:r>
            <a:r>
              <a:rPr lang="en-US" cap="none" sz="1800" b="1" i="0" u="none" baseline="0">
                <a:solidFill>
                  <a:srgbClr val="333333"/>
                </a:solidFill>
              </a:rPr>
              <a:t>倍率</a:t>
            </a:r>
          </a:p>
        </c:rich>
      </c:tx>
      <c:layout>
        <c:manualLayout>
          <c:xMode val="factor"/>
          <c:yMode val="factor"/>
          <c:x val="-0.000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16175"/>
          <c:w val="0.92825"/>
          <c:h val="0.8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'試算結果'!$F$44</c:f>
              <c:strCache>
                <c:ptCount val="1"/>
                <c:pt idx="0">
                  <c:v>実績</c:v>
                </c:pt>
              </c:strCache>
            </c:strRef>
          </c:tx>
          <c:spPr>
            <a:solidFill>
              <a:srgbClr val="333F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'試算結果'!$D$45:$E$55</c:f>
              <c:multiLvlStrCache/>
            </c:multiLvlStrRef>
          </c:cat>
          <c:val>
            <c:numRef>
              <c:f>'試算結果'!$F$45:$F$55</c:f>
              <c:numCache/>
            </c:numRef>
          </c:val>
        </c:ser>
        <c:ser>
          <c:idx val="1"/>
          <c:order val="1"/>
          <c:tx>
            <c:strRef>
              <c:f>'試算結果'!$G$44</c:f>
              <c:strCache>
                <c:ptCount val="1"/>
                <c:pt idx="0">
                  <c:v>今期見込</c:v>
                </c:pt>
              </c:strCache>
            </c:strRef>
          </c:tx>
          <c:spPr>
            <a:solidFill>
              <a:srgbClr val="ADB9C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'試算結果'!$D$45:$E$55</c:f>
              <c:multiLvlStrCache/>
            </c:multiLvlStrRef>
          </c:cat>
          <c:val>
            <c:numRef>
              <c:f>'試算結果'!$G$45:$G$55</c:f>
              <c:numCache/>
            </c:numRef>
          </c:val>
        </c:ser>
        <c:ser>
          <c:idx val="2"/>
          <c:order val="2"/>
          <c:tx>
            <c:strRef>
              <c:f>'試算結果'!$H$44</c:f>
              <c:strCache>
                <c:ptCount val="1"/>
                <c:pt idx="0">
                  <c:v>来期見込</c:v>
                </c:pt>
              </c:strCache>
            </c:strRef>
          </c:tx>
          <c:spPr>
            <a:solidFill>
              <a:srgbClr val="DEEBF7"/>
            </a:solidFill>
            <a:ln w="12700">
              <a:solidFill>
                <a:srgbClr val="99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'試算結果'!$D$45:$E$55</c:f>
              <c:multiLvlStrCache/>
            </c:multiLvlStrRef>
          </c:cat>
          <c:val>
            <c:numRef>
              <c:f>'試算結果'!$H$45:$H$55</c:f>
              <c:numCache/>
            </c:numRef>
          </c:val>
        </c:ser>
        <c:overlap val="-27"/>
        <c:gapWidth val="219"/>
        <c:axId val="11826001"/>
        <c:axId val="39325146"/>
      </c:barChart>
      <c:catAx>
        <c:axId val="118260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9325146"/>
        <c:crosses val="autoZero"/>
        <c:auto val="1"/>
        <c:lblOffset val="100"/>
        <c:tickLblSkip val="1"/>
        <c:noMultiLvlLbl val="0"/>
      </c:catAx>
      <c:valAx>
        <c:axId val="3932514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18260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475"/>
          <c:y val="0.8975"/>
          <c:w val="0.15075"/>
          <c:h val="0.08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333333"/>
                </a:solidFill>
              </a:rPr>
              <a:t>類似会社</a:t>
            </a:r>
            <a:r>
              <a:rPr lang="en-US" cap="none" sz="1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EV/EBITDA</a:t>
            </a:r>
            <a:r>
              <a:rPr lang="en-US" cap="none" sz="1800" b="0" i="0" u="none" baseline="0">
                <a:solidFill>
                  <a:srgbClr val="333333"/>
                </a:solidFill>
              </a:rPr>
              <a:t>倍率</a:t>
            </a:r>
          </a:p>
        </c:rich>
      </c:tx>
      <c:layout>
        <c:manualLayout>
          <c:xMode val="factor"/>
          <c:yMode val="factor"/>
          <c:x val="-0.000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1605"/>
          <c:w val="0.928"/>
          <c:h val="0.8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'試算結果 (メガネ事例)'!$F$45</c:f>
              <c:strCache>
                <c:ptCount val="1"/>
                <c:pt idx="0">
                  <c:v>実績</c:v>
                </c:pt>
              </c:strCache>
            </c:strRef>
          </c:tx>
          <c:spPr>
            <a:solidFill>
              <a:srgbClr val="333F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'試算結果 (メガネ事例)'!$D$46:$E$56</c:f>
              <c:multiLvlStrCache/>
            </c:multiLvlStrRef>
          </c:cat>
          <c:val>
            <c:numRef>
              <c:f>'試算結果 (メガネ事例)'!$F$46:$F$56</c:f>
              <c:numCache/>
            </c:numRef>
          </c:val>
        </c:ser>
        <c:ser>
          <c:idx val="1"/>
          <c:order val="1"/>
          <c:tx>
            <c:strRef>
              <c:f>'試算結果 (メガネ事例)'!$G$45</c:f>
              <c:strCache>
                <c:ptCount val="1"/>
                <c:pt idx="0">
                  <c:v>今期見込</c:v>
                </c:pt>
              </c:strCache>
            </c:strRef>
          </c:tx>
          <c:spPr>
            <a:solidFill>
              <a:srgbClr val="ADB9C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'試算結果 (メガネ事例)'!$D$46:$E$56</c:f>
              <c:multiLvlStrCache/>
            </c:multiLvlStrRef>
          </c:cat>
          <c:val>
            <c:numRef>
              <c:f>'試算結果 (メガネ事例)'!$G$46:$G$56</c:f>
              <c:numCache/>
            </c:numRef>
          </c:val>
        </c:ser>
        <c:ser>
          <c:idx val="2"/>
          <c:order val="2"/>
          <c:tx>
            <c:strRef>
              <c:f>'試算結果 (メガネ事例)'!$H$45</c:f>
              <c:strCache>
                <c:ptCount val="1"/>
                <c:pt idx="0">
                  <c:v>来期見込</c:v>
                </c:pt>
              </c:strCache>
            </c:strRef>
          </c:tx>
          <c:spPr>
            <a:solidFill>
              <a:srgbClr val="DEEBF7"/>
            </a:solidFill>
            <a:ln w="12700">
              <a:solidFill>
                <a:srgbClr val="99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'試算結果 (メガネ事例)'!$D$46:$E$56</c:f>
              <c:multiLvlStrCache/>
            </c:multiLvlStrRef>
          </c:cat>
          <c:val>
            <c:numRef>
              <c:f>'試算結果 (メガネ事例)'!$H$46:$H$56</c:f>
              <c:numCache/>
            </c:numRef>
          </c:val>
        </c:ser>
        <c:overlap val="-27"/>
        <c:gapWidth val="219"/>
        <c:axId val="18381995"/>
        <c:axId val="31220228"/>
      </c:barChart>
      <c:catAx>
        <c:axId val="183819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1220228"/>
        <c:crosses val="autoZero"/>
        <c:auto val="1"/>
        <c:lblOffset val="100"/>
        <c:tickLblSkip val="1"/>
        <c:noMultiLvlLbl val="0"/>
      </c:catAx>
      <c:valAx>
        <c:axId val="312202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83819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5"/>
          <c:y val="0.90175"/>
          <c:w val="0.15075"/>
          <c:h val="0.0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emf" /><Relationship Id="rId3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47625</xdr:colOff>
      <xdr:row>38</xdr:row>
      <xdr:rowOff>209550</xdr:rowOff>
    </xdr:from>
    <xdr:to>
      <xdr:col>24</xdr:col>
      <xdr:colOff>466725</xdr:colOff>
      <xdr:row>54</xdr:row>
      <xdr:rowOff>76200</xdr:rowOff>
    </xdr:to>
    <xdr:pic>
      <xdr:nvPicPr>
        <xdr:cNvPr id="1" name="図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01375" y="10058400"/>
          <a:ext cx="7658100" cy="398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</xdr:row>
      <xdr:rowOff>28575</xdr:rowOff>
    </xdr:from>
    <xdr:to>
      <xdr:col>4</xdr:col>
      <xdr:colOff>352425</xdr:colOff>
      <xdr:row>1</xdr:row>
      <xdr:rowOff>180975</xdr:rowOff>
    </xdr:to>
    <xdr:pic>
      <xdr:nvPicPr>
        <xdr:cNvPr id="2" name="Picture 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419100"/>
          <a:ext cx="10382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238125</xdr:rowOff>
    </xdr:from>
    <xdr:to>
      <xdr:col>4</xdr:col>
      <xdr:colOff>314325</xdr:colOff>
      <xdr:row>2</xdr:row>
      <xdr:rowOff>152400</xdr:rowOff>
    </xdr:to>
    <xdr:pic>
      <xdr:nvPicPr>
        <xdr:cNvPr id="3" name="Picture 9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628650"/>
          <a:ext cx="1000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628650</xdr:colOff>
      <xdr:row>49</xdr:row>
      <xdr:rowOff>190500</xdr:rowOff>
    </xdr:from>
    <xdr:to>
      <xdr:col>21</xdr:col>
      <xdr:colOff>171450</xdr:colOff>
      <xdr:row>52</xdr:row>
      <xdr:rowOff>200025</xdr:rowOff>
    </xdr:to>
    <xdr:sp>
      <xdr:nvSpPr>
        <xdr:cNvPr id="4" name="正方形/長方形 1"/>
        <xdr:cNvSpPr>
          <a:spLocks/>
        </xdr:cNvSpPr>
      </xdr:nvSpPr>
      <xdr:spPr>
        <a:xfrm>
          <a:off x="15201900" y="12868275"/>
          <a:ext cx="447675" cy="781050"/>
        </a:xfrm>
        <a:prstGeom prst="rect">
          <a:avLst/>
        </a:prstGeom>
        <a:noFill/>
        <a:ln w="539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257175</xdr:colOff>
      <xdr:row>49</xdr:row>
      <xdr:rowOff>133350</xdr:rowOff>
    </xdr:from>
    <xdr:to>
      <xdr:col>18</xdr:col>
      <xdr:colOff>361950</xdr:colOff>
      <xdr:row>52</xdr:row>
      <xdr:rowOff>180975</xdr:rowOff>
    </xdr:to>
    <xdr:sp>
      <xdr:nvSpPr>
        <xdr:cNvPr id="5" name="下カーブ矢印 2"/>
        <xdr:cNvSpPr>
          <a:spLocks/>
        </xdr:cNvSpPr>
      </xdr:nvSpPr>
      <xdr:spPr>
        <a:xfrm rot="19093509">
          <a:off x="11210925" y="12811125"/>
          <a:ext cx="1914525" cy="819150"/>
        </a:xfrm>
        <a:prstGeom prst="curvedDownArrow">
          <a:avLst>
            <a:gd name="adj1" fmla="val 29888"/>
            <a:gd name="adj2" fmla="val 44972"/>
            <a:gd name="adj3" fmla="val 25000"/>
          </a:avLst>
        </a:prstGeom>
        <a:solidFill>
          <a:srgbClr val="C00000"/>
        </a:solidFill>
        <a:ln w="1270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561975</xdr:colOff>
      <xdr:row>49</xdr:row>
      <xdr:rowOff>171450</xdr:rowOff>
    </xdr:from>
    <xdr:to>
      <xdr:col>19</xdr:col>
      <xdr:colOff>714375</xdr:colOff>
      <xdr:row>52</xdr:row>
      <xdr:rowOff>190500</xdr:rowOff>
    </xdr:to>
    <xdr:sp>
      <xdr:nvSpPr>
        <xdr:cNvPr id="6" name="正方形/長方形 7"/>
        <xdr:cNvSpPr>
          <a:spLocks/>
        </xdr:cNvSpPr>
      </xdr:nvSpPr>
      <xdr:spPr>
        <a:xfrm>
          <a:off x="13325475" y="12849225"/>
          <a:ext cx="1057275" cy="790575"/>
        </a:xfrm>
        <a:prstGeom prst="rect">
          <a:avLst/>
        </a:prstGeom>
        <a:noFill/>
        <a:ln w="539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12</xdr:row>
      <xdr:rowOff>247650</xdr:rowOff>
    </xdr:from>
    <xdr:to>
      <xdr:col>15</xdr:col>
      <xdr:colOff>409575</xdr:colOff>
      <xdr:row>59</xdr:row>
      <xdr:rowOff>247650</xdr:rowOff>
    </xdr:to>
    <xdr:sp>
      <xdr:nvSpPr>
        <xdr:cNvPr id="1" name="左カーブ矢印 16"/>
        <xdr:cNvSpPr>
          <a:spLocks/>
        </xdr:cNvSpPr>
      </xdr:nvSpPr>
      <xdr:spPr>
        <a:xfrm rot="21291123" flipV="1">
          <a:off x="11439525" y="3733800"/>
          <a:ext cx="838200" cy="11315700"/>
        </a:xfrm>
        <a:prstGeom prst="curvedLeftArrow">
          <a:avLst>
            <a:gd name="adj1" fmla="val 45916"/>
            <a:gd name="adj2" fmla="val 48981"/>
            <a:gd name="adj3" fmla="val -25000"/>
          </a:avLst>
        </a:prstGeom>
        <a:solidFill>
          <a:srgbClr val="333F50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771525</xdr:colOff>
      <xdr:row>14</xdr:row>
      <xdr:rowOff>123825</xdr:rowOff>
    </xdr:from>
    <xdr:to>
      <xdr:col>9</xdr:col>
      <xdr:colOff>742950</xdr:colOff>
      <xdr:row>15</xdr:row>
      <xdr:rowOff>85725</xdr:rowOff>
    </xdr:to>
    <xdr:sp>
      <xdr:nvSpPr>
        <xdr:cNvPr id="2" name="二等辺三角形 17"/>
        <xdr:cNvSpPr>
          <a:spLocks/>
        </xdr:cNvSpPr>
      </xdr:nvSpPr>
      <xdr:spPr>
        <a:xfrm rot="10800000">
          <a:off x="5095875" y="4276725"/>
          <a:ext cx="2486025" cy="352425"/>
        </a:xfrm>
        <a:prstGeom prst="triangle">
          <a:avLst/>
        </a:prstGeom>
        <a:gradFill rotWithShape="1">
          <a:gsLst>
            <a:gs pos="0">
              <a:srgbClr val="222A35"/>
            </a:gs>
            <a:gs pos="100000">
              <a:srgbClr val="0F1318"/>
            </a:gs>
          </a:gsLst>
          <a:lin ang="5400000" scaled="1"/>
        </a:gra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200025</xdr:colOff>
      <xdr:row>23</xdr:row>
      <xdr:rowOff>171450</xdr:rowOff>
    </xdr:from>
    <xdr:to>
      <xdr:col>7</xdr:col>
      <xdr:colOff>57150</xdr:colOff>
      <xdr:row>27</xdr:row>
      <xdr:rowOff>57150</xdr:rowOff>
    </xdr:to>
    <xdr:sp>
      <xdr:nvSpPr>
        <xdr:cNvPr id="3" name="正方形/長方形 21"/>
        <xdr:cNvSpPr>
          <a:spLocks/>
        </xdr:cNvSpPr>
      </xdr:nvSpPr>
      <xdr:spPr>
        <a:xfrm>
          <a:off x="485775" y="6486525"/>
          <a:ext cx="4733925" cy="1028700"/>
        </a:xfrm>
        <a:prstGeom prst="rect">
          <a:avLst/>
        </a:prstGeom>
        <a:noFill/>
        <a:ln w="6350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819150</xdr:colOff>
      <xdr:row>23</xdr:row>
      <xdr:rowOff>180975</xdr:rowOff>
    </xdr:from>
    <xdr:to>
      <xdr:col>13</xdr:col>
      <xdr:colOff>47625</xdr:colOff>
      <xdr:row>27</xdr:row>
      <xdr:rowOff>66675</xdr:rowOff>
    </xdr:to>
    <xdr:sp>
      <xdr:nvSpPr>
        <xdr:cNvPr id="4" name="正方形/長方形 22"/>
        <xdr:cNvSpPr>
          <a:spLocks/>
        </xdr:cNvSpPr>
      </xdr:nvSpPr>
      <xdr:spPr>
        <a:xfrm>
          <a:off x="7658100" y="6496050"/>
          <a:ext cx="2581275" cy="1028700"/>
        </a:xfrm>
        <a:prstGeom prst="rect">
          <a:avLst/>
        </a:prstGeom>
        <a:noFill/>
        <a:ln w="6350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</xdr:colOff>
      <xdr:row>14</xdr:row>
      <xdr:rowOff>114300</xdr:rowOff>
    </xdr:from>
    <xdr:to>
      <xdr:col>6</xdr:col>
      <xdr:colOff>828675</xdr:colOff>
      <xdr:row>15</xdr:row>
      <xdr:rowOff>95250</xdr:rowOff>
    </xdr:to>
    <xdr:sp>
      <xdr:nvSpPr>
        <xdr:cNvPr id="5" name="二等辺三角形 24"/>
        <xdr:cNvSpPr>
          <a:spLocks/>
        </xdr:cNvSpPr>
      </xdr:nvSpPr>
      <xdr:spPr>
        <a:xfrm rot="10800000">
          <a:off x="2505075" y="4267200"/>
          <a:ext cx="2647950" cy="371475"/>
        </a:xfrm>
        <a:prstGeom prst="triangle">
          <a:avLst/>
        </a:prstGeom>
        <a:gradFill rotWithShape="1">
          <a:gsLst>
            <a:gs pos="0">
              <a:srgbClr val="222A35"/>
            </a:gs>
            <a:gs pos="100000">
              <a:srgbClr val="0F1318"/>
            </a:gs>
          </a:gsLst>
          <a:lin ang="5400000" scaled="1"/>
        </a:gra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47625</xdr:colOff>
      <xdr:row>17</xdr:row>
      <xdr:rowOff>114300</xdr:rowOff>
    </xdr:from>
    <xdr:to>
      <xdr:col>13</xdr:col>
      <xdr:colOff>0</xdr:colOff>
      <xdr:row>19</xdr:row>
      <xdr:rowOff>38100</xdr:rowOff>
    </xdr:to>
    <xdr:sp>
      <xdr:nvSpPr>
        <xdr:cNvPr id="6" name="二等辺三角形 25"/>
        <xdr:cNvSpPr>
          <a:spLocks/>
        </xdr:cNvSpPr>
      </xdr:nvSpPr>
      <xdr:spPr>
        <a:xfrm rot="10800000">
          <a:off x="7724775" y="5114925"/>
          <a:ext cx="2466975" cy="361950"/>
        </a:xfrm>
        <a:prstGeom prst="triangle">
          <a:avLst/>
        </a:prstGeom>
        <a:gradFill rotWithShape="1">
          <a:gsLst>
            <a:gs pos="0">
              <a:srgbClr val="222A35"/>
            </a:gs>
            <a:gs pos="100000">
              <a:srgbClr val="0F1318"/>
            </a:gs>
          </a:gsLst>
          <a:lin ang="5400000" scaled="1"/>
        </a:gra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85725</xdr:colOff>
      <xdr:row>17</xdr:row>
      <xdr:rowOff>95250</xdr:rowOff>
    </xdr:from>
    <xdr:to>
      <xdr:col>14</xdr:col>
      <xdr:colOff>28575</xdr:colOff>
      <xdr:row>19</xdr:row>
      <xdr:rowOff>19050</xdr:rowOff>
    </xdr:to>
    <xdr:sp>
      <xdr:nvSpPr>
        <xdr:cNvPr id="7" name="二等辺三角形 26"/>
        <xdr:cNvSpPr>
          <a:spLocks/>
        </xdr:cNvSpPr>
      </xdr:nvSpPr>
      <xdr:spPr>
        <a:xfrm rot="10800000">
          <a:off x="10277475" y="5095875"/>
          <a:ext cx="781050" cy="361950"/>
        </a:xfrm>
        <a:prstGeom prst="triangle">
          <a:avLst/>
        </a:prstGeom>
        <a:gradFill rotWithShape="1">
          <a:gsLst>
            <a:gs pos="0">
              <a:srgbClr val="222A35"/>
            </a:gs>
            <a:gs pos="100000">
              <a:srgbClr val="0F1318"/>
            </a:gs>
          </a:gsLst>
          <a:lin ang="5400000" scaled="1"/>
        </a:gra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57</xdr:row>
      <xdr:rowOff>66675</xdr:rowOff>
    </xdr:from>
    <xdr:to>
      <xdr:col>7</xdr:col>
      <xdr:colOff>762000</xdr:colOff>
      <xdr:row>58</xdr:row>
      <xdr:rowOff>209550</xdr:rowOff>
    </xdr:to>
    <xdr:sp>
      <xdr:nvSpPr>
        <xdr:cNvPr id="8" name="二等辺三角形 27"/>
        <xdr:cNvSpPr>
          <a:spLocks/>
        </xdr:cNvSpPr>
      </xdr:nvSpPr>
      <xdr:spPr>
        <a:xfrm rot="10800000">
          <a:off x="3486150" y="14420850"/>
          <a:ext cx="2438400" cy="371475"/>
        </a:xfrm>
        <a:prstGeom prst="triangle">
          <a:avLst/>
        </a:prstGeom>
        <a:gradFill rotWithShape="1">
          <a:gsLst>
            <a:gs pos="0">
              <a:srgbClr val="222A35"/>
            </a:gs>
            <a:gs pos="100000">
              <a:srgbClr val="0F1318"/>
            </a:gs>
          </a:gsLst>
          <a:lin ang="5400000" scaled="1"/>
        </a:gra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85725</xdr:colOff>
      <xdr:row>57</xdr:row>
      <xdr:rowOff>57150</xdr:rowOff>
    </xdr:from>
    <xdr:to>
      <xdr:col>11</xdr:col>
      <xdr:colOff>9525</xdr:colOff>
      <xdr:row>58</xdr:row>
      <xdr:rowOff>219075</xdr:rowOff>
    </xdr:to>
    <xdr:sp>
      <xdr:nvSpPr>
        <xdr:cNvPr id="9" name="二等辺三角形 28"/>
        <xdr:cNvSpPr>
          <a:spLocks/>
        </xdr:cNvSpPr>
      </xdr:nvSpPr>
      <xdr:spPr>
        <a:xfrm rot="10800000">
          <a:off x="6086475" y="14411325"/>
          <a:ext cx="2438400" cy="390525"/>
        </a:xfrm>
        <a:prstGeom prst="triangle">
          <a:avLst/>
        </a:prstGeom>
        <a:gradFill rotWithShape="1">
          <a:gsLst>
            <a:gs pos="0">
              <a:srgbClr val="222A35"/>
            </a:gs>
            <a:gs pos="100000">
              <a:srgbClr val="0F1318"/>
            </a:gs>
          </a:gsLst>
          <a:lin ang="5400000" scaled="1"/>
        </a:gra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66675</xdr:colOff>
      <xdr:row>57</xdr:row>
      <xdr:rowOff>66675</xdr:rowOff>
    </xdr:from>
    <xdr:to>
      <xdr:col>13</xdr:col>
      <xdr:colOff>800100</xdr:colOff>
      <xdr:row>58</xdr:row>
      <xdr:rowOff>209550</xdr:rowOff>
    </xdr:to>
    <xdr:sp>
      <xdr:nvSpPr>
        <xdr:cNvPr id="10" name="二等辺三角形 29"/>
        <xdr:cNvSpPr>
          <a:spLocks/>
        </xdr:cNvSpPr>
      </xdr:nvSpPr>
      <xdr:spPr>
        <a:xfrm rot="10800000">
          <a:off x="8582025" y="14420850"/>
          <a:ext cx="2409825" cy="371475"/>
        </a:xfrm>
        <a:prstGeom prst="triangle">
          <a:avLst/>
        </a:prstGeom>
        <a:gradFill rotWithShape="1">
          <a:gsLst>
            <a:gs pos="0">
              <a:srgbClr val="222A35"/>
            </a:gs>
            <a:gs pos="100000">
              <a:srgbClr val="0F1318"/>
            </a:gs>
          </a:gsLst>
          <a:lin ang="5400000" scaled="1"/>
        </a:gra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28575</xdr:colOff>
      <xdr:row>57</xdr:row>
      <xdr:rowOff>57150</xdr:rowOff>
    </xdr:from>
    <xdr:to>
      <xdr:col>15</xdr:col>
      <xdr:colOff>38100</xdr:colOff>
      <xdr:row>58</xdr:row>
      <xdr:rowOff>200025</xdr:rowOff>
    </xdr:to>
    <xdr:sp>
      <xdr:nvSpPr>
        <xdr:cNvPr id="11" name="二等辺三角形 30"/>
        <xdr:cNvSpPr>
          <a:spLocks/>
        </xdr:cNvSpPr>
      </xdr:nvSpPr>
      <xdr:spPr>
        <a:xfrm rot="10800000">
          <a:off x="11058525" y="14411325"/>
          <a:ext cx="847725" cy="371475"/>
        </a:xfrm>
        <a:prstGeom prst="triangle">
          <a:avLst/>
        </a:prstGeom>
        <a:gradFill rotWithShape="1">
          <a:gsLst>
            <a:gs pos="0">
              <a:srgbClr val="222A35"/>
            </a:gs>
            <a:gs pos="100000">
              <a:srgbClr val="0F1318"/>
            </a:gs>
          </a:gsLst>
          <a:lin ang="5400000" scaled="1"/>
        </a:gra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161925</xdr:colOff>
      <xdr:row>28</xdr:row>
      <xdr:rowOff>276225</xdr:rowOff>
    </xdr:from>
    <xdr:to>
      <xdr:col>14</xdr:col>
      <xdr:colOff>733425</xdr:colOff>
      <xdr:row>40</xdr:row>
      <xdr:rowOff>19050</xdr:rowOff>
    </xdr:to>
    <xdr:graphicFrame>
      <xdr:nvGraphicFramePr>
        <xdr:cNvPr id="12" name="グラフ 3"/>
        <xdr:cNvGraphicFramePr/>
      </xdr:nvGraphicFramePr>
      <xdr:xfrm>
        <a:off x="447675" y="7953375"/>
        <a:ext cx="1131570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28575</xdr:rowOff>
    </xdr:from>
    <xdr:to>
      <xdr:col>4</xdr:col>
      <xdr:colOff>352425</xdr:colOff>
      <xdr:row>1</xdr:row>
      <xdr:rowOff>180975</xdr:rowOff>
    </xdr:to>
    <xdr:pic>
      <xdr:nvPicPr>
        <xdr:cNvPr id="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419100"/>
          <a:ext cx="10382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238125</xdr:rowOff>
    </xdr:from>
    <xdr:to>
      <xdr:col>4</xdr:col>
      <xdr:colOff>314325</xdr:colOff>
      <xdr:row>2</xdr:row>
      <xdr:rowOff>152400</xdr:rowOff>
    </xdr:to>
    <xdr:pic>
      <xdr:nvPicPr>
        <xdr:cNvPr id="2" name="Picture 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628650"/>
          <a:ext cx="1000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12</xdr:row>
      <xdr:rowOff>247650</xdr:rowOff>
    </xdr:from>
    <xdr:to>
      <xdr:col>15</xdr:col>
      <xdr:colOff>409575</xdr:colOff>
      <xdr:row>60</xdr:row>
      <xdr:rowOff>247650</xdr:rowOff>
    </xdr:to>
    <xdr:sp>
      <xdr:nvSpPr>
        <xdr:cNvPr id="1" name="左カーブ矢印 1"/>
        <xdr:cNvSpPr>
          <a:spLocks/>
        </xdr:cNvSpPr>
      </xdr:nvSpPr>
      <xdr:spPr>
        <a:xfrm rot="21291123" flipV="1">
          <a:off x="11439525" y="3733800"/>
          <a:ext cx="838200" cy="11591925"/>
        </a:xfrm>
        <a:prstGeom prst="curvedLeftArrow">
          <a:avLst>
            <a:gd name="adj1" fmla="val 45916"/>
            <a:gd name="adj2" fmla="val 48981"/>
            <a:gd name="adj3" fmla="val -25000"/>
          </a:avLst>
        </a:prstGeom>
        <a:solidFill>
          <a:srgbClr val="333F50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771525</xdr:colOff>
      <xdr:row>14</xdr:row>
      <xdr:rowOff>123825</xdr:rowOff>
    </xdr:from>
    <xdr:to>
      <xdr:col>9</xdr:col>
      <xdr:colOff>742950</xdr:colOff>
      <xdr:row>15</xdr:row>
      <xdr:rowOff>85725</xdr:rowOff>
    </xdr:to>
    <xdr:sp>
      <xdr:nvSpPr>
        <xdr:cNvPr id="2" name="二等辺三角形 2"/>
        <xdr:cNvSpPr>
          <a:spLocks/>
        </xdr:cNvSpPr>
      </xdr:nvSpPr>
      <xdr:spPr>
        <a:xfrm rot="10800000">
          <a:off x="5095875" y="4276725"/>
          <a:ext cx="2486025" cy="352425"/>
        </a:xfrm>
        <a:prstGeom prst="triangle">
          <a:avLst/>
        </a:prstGeom>
        <a:gradFill rotWithShape="1">
          <a:gsLst>
            <a:gs pos="0">
              <a:srgbClr val="222A35"/>
            </a:gs>
            <a:gs pos="100000">
              <a:srgbClr val="0F1318"/>
            </a:gs>
          </a:gsLst>
          <a:lin ang="5400000" scaled="1"/>
        </a:gra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200025</xdr:colOff>
      <xdr:row>23</xdr:row>
      <xdr:rowOff>171450</xdr:rowOff>
    </xdr:from>
    <xdr:to>
      <xdr:col>7</xdr:col>
      <xdr:colOff>57150</xdr:colOff>
      <xdr:row>27</xdr:row>
      <xdr:rowOff>57150</xdr:rowOff>
    </xdr:to>
    <xdr:sp>
      <xdr:nvSpPr>
        <xdr:cNvPr id="3" name="正方形/長方形 3"/>
        <xdr:cNvSpPr>
          <a:spLocks/>
        </xdr:cNvSpPr>
      </xdr:nvSpPr>
      <xdr:spPr>
        <a:xfrm>
          <a:off x="485775" y="6486525"/>
          <a:ext cx="4733925" cy="1028700"/>
        </a:xfrm>
        <a:prstGeom prst="rect">
          <a:avLst/>
        </a:prstGeom>
        <a:noFill/>
        <a:ln w="6350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819150</xdr:colOff>
      <xdr:row>23</xdr:row>
      <xdr:rowOff>180975</xdr:rowOff>
    </xdr:from>
    <xdr:to>
      <xdr:col>13</xdr:col>
      <xdr:colOff>47625</xdr:colOff>
      <xdr:row>27</xdr:row>
      <xdr:rowOff>66675</xdr:rowOff>
    </xdr:to>
    <xdr:sp>
      <xdr:nvSpPr>
        <xdr:cNvPr id="4" name="正方形/長方形 4"/>
        <xdr:cNvSpPr>
          <a:spLocks/>
        </xdr:cNvSpPr>
      </xdr:nvSpPr>
      <xdr:spPr>
        <a:xfrm>
          <a:off x="7658100" y="6496050"/>
          <a:ext cx="2581275" cy="1028700"/>
        </a:xfrm>
        <a:prstGeom prst="rect">
          <a:avLst/>
        </a:prstGeom>
        <a:noFill/>
        <a:ln w="6350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</xdr:colOff>
      <xdr:row>14</xdr:row>
      <xdr:rowOff>114300</xdr:rowOff>
    </xdr:from>
    <xdr:to>
      <xdr:col>6</xdr:col>
      <xdr:colOff>828675</xdr:colOff>
      <xdr:row>15</xdr:row>
      <xdr:rowOff>95250</xdr:rowOff>
    </xdr:to>
    <xdr:sp>
      <xdr:nvSpPr>
        <xdr:cNvPr id="5" name="二等辺三角形 5"/>
        <xdr:cNvSpPr>
          <a:spLocks/>
        </xdr:cNvSpPr>
      </xdr:nvSpPr>
      <xdr:spPr>
        <a:xfrm rot="10800000">
          <a:off x="2505075" y="4267200"/>
          <a:ext cx="2647950" cy="371475"/>
        </a:xfrm>
        <a:prstGeom prst="triangle">
          <a:avLst/>
        </a:prstGeom>
        <a:gradFill rotWithShape="1">
          <a:gsLst>
            <a:gs pos="0">
              <a:srgbClr val="222A35"/>
            </a:gs>
            <a:gs pos="100000">
              <a:srgbClr val="0F1318"/>
            </a:gs>
          </a:gsLst>
          <a:lin ang="5400000" scaled="1"/>
        </a:gra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47625</xdr:colOff>
      <xdr:row>17</xdr:row>
      <xdr:rowOff>114300</xdr:rowOff>
    </xdr:from>
    <xdr:to>
      <xdr:col>13</xdr:col>
      <xdr:colOff>0</xdr:colOff>
      <xdr:row>19</xdr:row>
      <xdr:rowOff>38100</xdr:rowOff>
    </xdr:to>
    <xdr:sp>
      <xdr:nvSpPr>
        <xdr:cNvPr id="6" name="二等辺三角形 6"/>
        <xdr:cNvSpPr>
          <a:spLocks/>
        </xdr:cNvSpPr>
      </xdr:nvSpPr>
      <xdr:spPr>
        <a:xfrm rot="10800000">
          <a:off x="7724775" y="5114925"/>
          <a:ext cx="2466975" cy="361950"/>
        </a:xfrm>
        <a:prstGeom prst="triangle">
          <a:avLst/>
        </a:prstGeom>
        <a:gradFill rotWithShape="1">
          <a:gsLst>
            <a:gs pos="0">
              <a:srgbClr val="222A35"/>
            </a:gs>
            <a:gs pos="100000">
              <a:srgbClr val="0F1318"/>
            </a:gs>
          </a:gsLst>
          <a:lin ang="5400000" scaled="1"/>
        </a:gra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85725</xdr:colOff>
      <xdr:row>17</xdr:row>
      <xdr:rowOff>95250</xdr:rowOff>
    </xdr:from>
    <xdr:to>
      <xdr:col>14</xdr:col>
      <xdr:colOff>28575</xdr:colOff>
      <xdr:row>19</xdr:row>
      <xdr:rowOff>19050</xdr:rowOff>
    </xdr:to>
    <xdr:sp>
      <xdr:nvSpPr>
        <xdr:cNvPr id="7" name="二等辺三角形 7"/>
        <xdr:cNvSpPr>
          <a:spLocks/>
        </xdr:cNvSpPr>
      </xdr:nvSpPr>
      <xdr:spPr>
        <a:xfrm rot="10800000">
          <a:off x="10277475" y="5095875"/>
          <a:ext cx="781050" cy="361950"/>
        </a:xfrm>
        <a:prstGeom prst="triangle">
          <a:avLst/>
        </a:prstGeom>
        <a:gradFill rotWithShape="1">
          <a:gsLst>
            <a:gs pos="0">
              <a:srgbClr val="222A35"/>
            </a:gs>
            <a:gs pos="100000">
              <a:srgbClr val="0F1318"/>
            </a:gs>
          </a:gsLst>
          <a:lin ang="5400000" scaled="1"/>
        </a:gra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58</xdr:row>
      <xdr:rowOff>66675</xdr:rowOff>
    </xdr:from>
    <xdr:to>
      <xdr:col>7</xdr:col>
      <xdr:colOff>762000</xdr:colOff>
      <xdr:row>59</xdr:row>
      <xdr:rowOff>219075</xdr:rowOff>
    </xdr:to>
    <xdr:sp>
      <xdr:nvSpPr>
        <xdr:cNvPr id="8" name="二等辺三角形 8"/>
        <xdr:cNvSpPr>
          <a:spLocks/>
        </xdr:cNvSpPr>
      </xdr:nvSpPr>
      <xdr:spPr>
        <a:xfrm rot="10800000">
          <a:off x="3486150" y="14697075"/>
          <a:ext cx="2438400" cy="381000"/>
        </a:xfrm>
        <a:prstGeom prst="triangle">
          <a:avLst/>
        </a:prstGeom>
        <a:gradFill rotWithShape="1">
          <a:gsLst>
            <a:gs pos="0">
              <a:srgbClr val="222A35"/>
            </a:gs>
            <a:gs pos="100000">
              <a:srgbClr val="0F1318"/>
            </a:gs>
          </a:gsLst>
          <a:lin ang="5400000" scaled="1"/>
        </a:gra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85725</xdr:colOff>
      <xdr:row>58</xdr:row>
      <xdr:rowOff>57150</xdr:rowOff>
    </xdr:from>
    <xdr:to>
      <xdr:col>11</xdr:col>
      <xdr:colOff>9525</xdr:colOff>
      <xdr:row>59</xdr:row>
      <xdr:rowOff>219075</xdr:rowOff>
    </xdr:to>
    <xdr:sp>
      <xdr:nvSpPr>
        <xdr:cNvPr id="9" name="二等辺三角形 9"/>
        <xdr:cNvSpPr>
          <a:spLocks/>
        </xdr:cNvSpPr>
      </xdr:nvSpPr>
      <xdr:spPr>
        <a:xfrm rot="10800000">
          <a:off x="6086475" y="14687550"/>
          <a:ext cx="2438400" cy="390525"/>
        </a:xfrm>
        <a:prstGeom prst="triangle">
          <a:avLst/>
        </a:prstGeom>
        <a:gradFill rotWithShape="1">
          <a:gsLst>
            <a:gs pos="0">
              <a:srgbClr val="222A35"/>
            </a:gs>
            <a:gs pos="100000">
              <a:srgbClr val="0F1318"/>
            </a:gs>
          </a:gsLst>
          <a:lin ang="5400000" scaled="1"/>
        </a:gra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66675</xdr:colOff>
      <xdr:row>58</xdr:row>
      <xdr:rowOff>66675</xdr:rowOff>
    </xdr:from>
    <xdr:to>
      <xdr:col>13</xdr:col>
      <xdr:colOff>800100</xdr:colOff>
      <xdr:row>59</xdr:row>
      <xdr:rowOff>219075</xdr:rowOff>
    </xdr:to>
    <xdr:sp>
      <xdr:nvSpPr>
        <xdr:cNvPr id="10" name="二等辺三角形 10"/>
        <xdr:cNvSpPr>
          <a:spLocks/>
        </xdr:cNvSpPr>
      </xdr:nvSpPr>
      <xdr:spPr>
        <a:xfrm rot="10800000">
          <a:off x="8582025" y="14697075"/>
          <a:ext cx="2409825" cy="381000"/>
        </a:xfrm>
        <a:prstGeom prst="triangle">
          <a:avLst/>
        </a:prstGeom>
        <a:gradFill rotWithShape="1">
          <a:gsLst>
            <a:gs pos="0">
              <a:srgbClr val="222A35"/>
            </a:gs>
            <a:gs pos="100000">
              <a:srgbClr val="0F1318"/>
            </a:gs>
          </a:gsLst>
          <a:lin ang="5400000" scaled="1"/>
        </a:gra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28575</xdr:colOff>
      <xdr:row>58</xdr:row>
      <xdr:rowOff>57150</xdr:rowOff>
    </xdr:from>
    <xdr:to>
      <xdr:col>15</xdr:col>
      <xdr:colOff>38100</xdr:colOff>
      <xdr:row>59</xdr:row>
      <xdr:rowOff>200025</xdr:rowOff>
    </xdr:to>
    <xdr:sp>
      <xdr:nvSpPr>
        <xdr:cNvPr id="11" name="二等辺三角形 11"/>
        <xdr:cNvSpPr>
          <a:spLocks/>
        </xdr:cNvSpPr>
      </xdr:nvSpPr>
      <xdr:spPr>
        <a:xfrm rot="10800000">
          <a:off x="11058525" y="14687550"/>
          <a:ext cx="847725" cy="371475"/>
        </a:xfrm>
        <a:prstGeom prst="triangle">
          <a:avLst/>
        </a:prstGeom>
        <a:gradFill rotWithShape="1">
          <a:gsLst>
            <a:gs pos="0">
              <a:srgbClr val="222A35"/>
            </a:gs>
            <a:gs pos="100000">
              <a:srgbClr val="0F1318"/>
            </a:gs>
          </a:gsLst>
          <a:lin ang="5400000" scaled="1"/>
        </a:gra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161925</xdr:colOff>
      <xdr:row>30</xdr:row>
      <xdr:rowOff>152400</xdr:rowOff>
    </xdr:from>
    <xdr:to>
      <xdr:col>14</xdr:col>
      <xdr:colOff>733425</xdr:colOff>
      <xdr:row>41</xdr:row>
      <xdr:rowOff>209550</xdr:rowOff>
    </xdr:to>
    <xdr:graphicFrame>
      <xdr:nvGraphicFramePr>
        <xdr:cNvPr id="12" name="グラフ 3"/>
        <xdr:cNvGraphicFramePr/>
      </xdr:nvGraphicFramePr>
      <xdr:xfrm>
        <a:off x="447675" y="8334375"/>
        <a:ext cx="113157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Y77"/>
  <sheetViews>
    <sheetView tabSelected="1" view="pageBreakPreview" zoomScale="80" zoomScaleNormal="80" zoomScaleSheetLayoutView="80" zoomScalePageLayoutView="0" workbookViewId="0" topLeftCell="C1">
      <selection activeCell="H26" sqref="H26:K26"/>
    </sheetView>
  </sheetViews>
  <sheetFormatPr defaultColWidth="11.00390625" defaultRowHeight="15" outlineLevelRow="1"/>
  <cols>
    <col min="1" max="1" width="3.00390625" style="1" customWidth="1"/>
    <col min="2" max="2" width="3.28125" style="1" customWidth="1"/>
    <col min="3" max="3" width="3.28125" style="41" customWidth="1"/>
    <col min="4" max="4" width="3.7109375" style="1" customWidth="1"/>
    <col min="5" max="5" width="8.28125" style="1" customWidth="1"/>
    <col min="6" max="6" width="6.57421875" style="1" customWidth="1"/>
    <col min="7" max="7" width="14.00390625" style="1" customWidth="1"/>
    <col min="8" max="16" width="13.57421875" style="1" customWidth="1"/>
    <col min="17" max="18" width="13.57421875" style="2" customWidth="1"/>
    <col min="19" max="51" width="13.57421875" style="1" customWidth="1"/>
    <col min="52" max="16384" width="11.00390625" style="1" customWidth="1"/>
  </cols>
  <sheetData>
    <row r="1" spans="2:15" s="169" customFormat="1" ht="30.75" customHeight="1">
      <c r="B1" s="206" t="s">
        <v>126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</row>
    <row r="2" ht="20.25">
      <c r="F2" s="1" t="s">
        <v>71</v>
      </c>
    </row>
    <row r="3" ht="20.25">
      <c r="F3" s="1" t="s">
        <v>72</v>
      </c>
    </row>
    <row r="4" spans="2:18" s="13" customFormat="1" ht="21.75">
      <c r="B4" s="13" t="s">
        <v>28</v>
      </c>
      <c r="Q4" s="139"/>
      <c r="R4" s="139"/>
    </row>
    <row r="5" spans="8:51" s="169" customFormat="1" ht="29.25" customHeight="1">
      <c r="H5" s="240" t="s">
        <v>67</v>
      </c>
      <c r="I5" s="241"/>
      <c r="J5" s="241"/>
      <c r="K5" s="242"/>
      <c r="L5" s="194" t="s">
        <v>55</v>
      </c>
      <c r="M5" s="195"/>
      <c r="N5" s="195"/>
      <c r="O5" s="207"/>
      <c r="P5" s="194" t="s">
        <v>56</v>
      </c>
      <c r="Q5" s="195"/>
      <c r="R5" s="195"/>
      <c r="S5" s="207"/>
      <c r="T5" s="194" t="s">
        <v>57</v>
      </c>
      <c r="U5" s="195"/>
      <c r="V5" s="195"/>
      <c r="W5" s="207"/>
      <c r="X5" s="194" t="s">
        <v>54</v>
      </c>
      <c r="Y5" s="195"/>
      <c r="Z5" s="195"/>
      <c r="AA5" s="207"/>
      <c r="AB5" s="194" t="s">
        <v>58</v>
      </c>
      <c r="AC5" s="195"/>
      <c r="AD5" s="195"/>
      <c r="AE5" s="207"/>
      <c r="AF5" s="194" t="s">
        <v>59</v>
      </c>
      <c r="AG5" s="195"/>
      <c r="AH5" s="195"/>
      <c r="AI5" s="207"/>
      <c r="AJ5" s="194" t="s">
        <v>60</v>
      </c>
      <c r="AK5" s="195"/>
      <c r="AL5" s="195"/>
      <c r="AM5" s="207"/>
      <c r="AN5" s="194" t="s">
        <v>61</v>
      </c>
      <c r="AO5" s="195"/>
      <c r="AP5" s="195"/>
      <c r="AQ5" s="195"/>
      <c r="AR5" s="195" t="s">
        <v>62</v>
      </c>
      <c r="AS5" s="195"/>
      <c r="AT5" s="195"/>
      <c r="AU5" s="207"/>
      <c r="AV5" s="194" t="s">
        <v>63</v>
      </c>
      <c r="AW5" s="195"/>
      <c r="AX5" s="195"/>
      <c r="AY5" s="195"/>
    </row>
    <row r="6" spans="2:51" s="41" customFormat="1" ht="20.25">
      <c r="B6" s="46"/>
      <c r="D6" s="157" t="s">
        <v>65</v>
      </c>
      <c r="E6" s="157"/>
      <c r="F6" s="158"/>
      <c r="G6" s="158"/>
      <c r="H6" s="197"/>
      <c r="I6" s="197"/>
      <c r="J6" s="197"/>
      <c r="K6" s="198"/>
      <c r="L6" s="196"/>
      <c r="M6" s="197"/>
      <c r="N6" s="197"/>
      <c r="O6" s="198"/>
      <c r="P6" s="196"/>
      <c r="Q6" s="197"/>
      <c r="R6" s="197"/>
      <c r="S6" s="198"/>
      <c r="T6" s="196"/>
      <c r="U6" s="197"/>
      <c r="V6" s="197"/>
      <c r="W6" s="198"/>
      <c r="X6" s="196"/>
      <c r="Y6" s="197"/>
      <c r="Z6" s="197"/>
      <c r="AA6" s="198"/>
      <c r="AB6" s="196"/>
      <c r="AC6" s="197"/>
      <c r="AD6" s="197"/>
      <c r="AE6" s="198"/>
      <c r="AF6" s="196"/>
      <c r="AG6" s="197"/>
      <c r="AH6" s="197"/>
      <c r="AI6" s="198"/>
      <c r="AJ6" s="196"/>
      <c r="AK6" s="197"/>
      <c r="AL6" s="197"/>
      <c r="AM6" s="198"/>
      <c r="AN6" s="196"/>
      <c r="AO6" s="197"/>
      <c r="AP6" s="197"/>
      <c r="AQ6" s="198"/>
      <c r="AR6" s="196"/>
      <c r="AS6" s="197"/>
      <c r="AT6" s="197"/>
      <c r="AU6" s="198"/>
      <c r="AV6" s="196"/>
      <c r="AW6" s="197"/>
      <c r="AX6" s="197"/>
      <c r="AY6" s="197"/>
    </row>
    <row r="7" spans="2:51" s="41" customFormat="1" ht="20.25">
      <c r="B7" s="46"/>
      <c r="D7" s="159" t="s">
        <v>66</v>
      </c>
      <c r="E7" s="159"/>
      <c r="F7" s="160"/>
      <c r="G7" s="160"/>
      <c r="H7" s="230"/>
      <c r="I7" s="230"/>
      <c r="J7" s="230"/>
      <c r="K7" s="231"/>
      <c r="L7" s="235"/>
      <c r="M7" s="230"/>
      <c r="N7" s="230"/>
      <c r="O7" s="231"/>
      <c r="P7" s="235"/>
      <c r="Q7" s="230"/>
      <c r="R7" s="230"/>
      <c r="S7" s="231"/>
      <c r="T7" s="235"/>
      <c r="U7" s="230"/>
      <c r="V7" s="230"/>
      <c r="W7" s="231"/>
      <c r="X7" s="235"/>
      <c r="Y7" s="230"/>
      <c r="Z7" s="230"/>
      <c r="AA7" s="231"/>
      <c r="AB7" s="235"/>
      <c r="AC7" s="230"/>
      <c r="AD7" s="230"/>
      <c r="AE7" s="231"/>
      <c r="AF7" s="235"/>
      <c r="AG7" s="230"/>
      <c r="AH7" s="230"/>
      <c r="AI7" s="231"/>
      <c r="AJ7" s="235"/>
      <c r="AK7" s="230"/>
      <c r="AL7" s="230"/>
      <c r="AM7" s="231"/>
      <c r="AN7" s="235"/>
      <c r="AO7" s="230"/>
      <c r="AP7" s="230"/>
      <c r="AQ7" s="231"/>
      <c r="AR7" s="235"/>
      <c r="AS7" s="230"/>
      <c r="AT7" s="230"/>
      <c r="AU7" s="231"/>
      <c r="AV7" s="235"/>
      <c r="AW7" s="230"/>
      <c r="AX7" s="230"/>
      <c r="AY7" s="231"/>
    </row>
    <row r="8" spans="2:18" ht="20.25">
      <c r="B8" s="3"/>
      <c r="C8" s="46"/>
      <c r="D8" s="3"/>
      <c r="E8" s="3"/>
      <c r="F8" s="3"/>
      <c r="G8" s="3"/>
      <c r="Q8" s="1"/>
      <c r="R8" s="1"/>
    </row>
    <row r="9" spans="3:51" ht="20.25">
      <c r="C9" s="41" t="s">
        <v>31</v>
      </c>
      <c r="F9" s="4"/>
      <c r="G9" s="4"/>
      <c r="H9" s="20"/>
      <c r="I9" s="21"/>
      <c r="J9" s="21"/>
      <c r="K9" s="21"/>
      <c r="L9" s="5"/>
      <c r="M9" s="5"/>
      <c r="N9" s="5"/>
      <c r="O9" s="21"/>
      <c r="P9" s="5"/>
      <c r="Q9" s="5"/>
      <c r="R9" s="5"/>
      <c r="S9" s="21"/>
      <c r="T9" s="5"/>
      <c r="U9" s="5"/>
      <c r="V9" s="5"/>
      <c r="W9" s="21"/>
      <c r="X9" s="5"/>
      <c r="Y9" s="5"/>
      <c r="Z9" s="5"/>
      <c r="AA9" s="21"/>
      <c r="AB9" s="5"/>
      <c r="AC9" s="5"/>
      <c r="AD9" s="5"/>
      <c r="AE9" s="21"/>
      <c r="AF9" s="5"/>
      <c r="AG9" s="5"/>
      <c r="AH9" s="5"/>
      <c r="AI9" s="21"/>
      <c r="AJ9" s="5"/>
      <c r="AK9" s="5"/>
      <c r="AL9" s="5"/>
      <c r="AM9" s="21"/>
      <c r="AN9" s="5"/>
      <c r="AO9" s="5"/>
      <c r="AP9" s="5"/>
      <c r="AQ9" s="21"/>
      <c r="AR9" s="5"/>
      <c r="AS9" s="5"/>
      <c r="AT9" s="5"/>
      <c r="AU9" s="21"/>
      <c r="AV9" s="5"/>
      <c r="AW9" s="5"/>
      <c r="AX9" s="5"/>
      <c r="AY9" s="21"/>
    </row>
    <row r="10" spans="3:51" s="9" customFormat="1" ht="20.25">
      <c r="C10" s="47" t="s">
        <v>25</v>
      </c>
      <c r="D10" s="8"/>
      <c r="E10" s="8"/>
      <c r="F10" s="8"/>
      <c r="G10" s="8"/>
      <c r="H10" s="232">
        <f>IF(H7="","",H7)</f>
      </c>
      <c r="I10" s="233"/>
      <c r="J10" s="233"/>
      <c r="K10" s="234"/>
      <c r="L10" s="232">
        <f>IF(L7="","",L7)</f>
      </c>
      <c r="M10" s="233"/>
      <c r="N10" s="233"/>
      <c r="O10" s="234"/>
      <c r="P10" s="232">
        <f>IF(P7="","",P7)</f>
      </c>
      <c r="Q10" s="233"/>
      <c r="R10" s="233"/>
      <c r="S10" s="234"/>
      <c r="T10" s="232">
        <f>IF(T7="","",T7)</f>
      </c>
      <c r="U10" s="233"/>
      <c r="V10" s="233"/>
      <c r="W10" s="234"/>
      <c r="X10" s="232">
        <f>IF(X7="","",X7)</f>
      </c>
      <c r="Y10" s="233"/>
      <c r="Z10" s="233"/>
      <c r="AA10" s="234"/>
      <c r="AB10" s="232">
        <f>IF(AB7="","",AB7)</f>
      </c>
      <c r="AC10" s="233"/>
      <c r="AD10" s="233"/>
      <c r="AE10" s="234"/>
      <c r="AF10" s="232">
        <f>IF(AF7="","",AF7)</f>
      </c>
      <c r="AG10" s="233"/>
      <c r="AH10" s="233"/>
      <c r="AI10" s="234"/>
      <c r="AJ10" s="232">
        <f>IF(AJ7="","",AJ7)</f>
      </c>
      <c r="AK10" s="233"/>
      <c r="AL10" s="233"/>
      <c r="AM10" s="234"/>
      <c r="AN10" s="232">
        <f>IF(AN7="","",AN7)</f>
      </c>
      <c r="AO10" s="233"/>
      <c r="AP10" s="233"/>
      <c r="AQ10" s="234"/>
      <c r="AR10" s="232">
        <f>IF(AR7="","",AR7)</f>
      </c>
      <c r="AS10" s="233"/>
      <c r="AT10" s="233"/>
      <c r="AU10" s="234"/>
      <c r="AV10" s="232">
        <f>IF(AV7="","",AV7)</f>
      </c>
      <c r="AW10" s="233"/>
      <c r="AX10" s="233"/>
      <c r="AY10" s="234"/>
    </row>
    <row r="11" spans="3:51" s="9" customFormat="1" ht="20.25">
      <c r="C11" s="47"/>
      <c r="D11" s="8"/>
      <c r="E11" s="8"/>
      <c r="F11" s="8"/>
      <c r="G11" s="8"/>
      <c r="H11" s="143" t="s">
        <v>26</v>
      </c>
      <c r="I11" s="144" t="s">
        <v>27</v>
      </c>
      <c r="J11" s="145" t="s">
        <v>64</v>
      </c>
      <c r="K11" s="146" t="s">
        <v>39</v>
      </c>
      <c r="L11" s="143" t="s">
        <v>26</v>
      </c>
      <c r="M11" s="144" t="s">
        <v>27</v>
      </c>
      <c r="N11" s="145" t="s">
        <v>35</v>
      </c>
      <c r="O11" s="146" t="s">
        <v>39</v>
      </c>
      <c r="P11" s="143" t="s">
        <v>26</v>
      </c>
      <c r="Q11" s="144" t="s">
        <v>27</v>
      </c>
      <c r="R11" s="145" t="s">
        <v>35</v>
      </c>
      <c r="S11" s="146" t="s">
        <v>39</v>
      </c>
      <c r="T11" s="143" t="s">
        <v>26</v>
      </c>
      <c r="U11" s="144" t="s">
        <v>27</v>
      </c>
      <c r="V11" s="145" t="s">
        <v>35</v>
      </c>
      <c r="W11" s="146" t="s">
        <v>39</v>
      </c>
      <c r="X11" s="143" t="s">
        <v>26</v>
      </c>
      <c r="Y11" s="144" t="s">
        <v>27</v>
      </c>
      <c r="Z11" s="145" t="s">
        <v>35</v>
      </c>
      <c r="AA11" s="146" t="s">
        <v>39</v>
      </c>
      <c r="AB11" s="143" t="s">
        <v>26</v>
      </c>
      <c r="AC11" s="144" t="s">
        <v>27</v>
      </c>
      <c r="AD11" s="145" t="s">
        <v>35</v>
      </c>
      <c r="AE11" s="146" t="s">
        <v>39</v>
      </c>
      <c r="AF11" s="143" t="s">
        <v>26</v>
      </c>
      <c r="AG11" s="144" t="s">
        <v>27</v>
      </c>
      <c r="AH11" s="145" t="s">
        <v>35</v>
      </c>
      <c r="AI11" s="146" t="s">
        <v>39</v>
      </c>
      <c r="AJ11" s="143" t="s">
        <v>26</v>
      </c>
      <c r="AK11" s="144" t="s">
        <v>27</v>
      </c>
      <c r="AL11" s="145" t="s">
        <v>35</v>
      </c>
      <c r="AM11" s="146" t="s">
        <v>39</v>
      </c>
      <c r="AN11" s="143" t="s">
        <v>26</v>
      </c>
      <c r="AO11" s="144" t="s">
        <v>27</v>
      </c>
      <c r="AP11" s="145" t="s">
        <v>35</v>
      </c>
      <c r="AQ11" s="146" t="s">
        <v>39</v>
      </c>
      <c r="AR11" s="143" t="s">
        <v>26</v>
      </c>
      <c r="AS11" s="144" t="s">
        <v>27</v>
      </c>
      <c r="AT11" s="145" t="s">
        <v>35</v>
      </c>
      <c r="AU11" s="146" t="s">
        <v>39</v>
      </c>
      <c r="AV11" s="143" t="s">
        <v>26</v>
      </c>
      <c r="AW11" s="144" t="s">
        <v>27</v>
      </c>
      <c r="AX11" s="145" t="s">
        <v>35</v>
      </c>
      <c r="AY11" s="146" t="s">
        <v>39</v>
      </c>
    </row>
    <row r="12" spans="3:51" ht="20.25" customHeight="1" hidden="1" outlineLevel="1">
      <c r="C12" s="48"/>
      <c r="D12" s="211">
        <f>D13-1</f>
        <v>-2</v>
      </c>
      <c r="E12" s="212"/>
      <c r="F12" s="10" t="s">
        <v>52</v>
      </c>
      <c r="G12" s="6" t="s">
        <v>53</v>
      </c>
      <c r="H12" s="59"/>
      <c r="I12" s="59"/>
      <c r="J12" s="14"/>
      <c r="K12" s="16"/>
      <c r="L12" s="59"/>
      <c r="M12" s="59"/>
      <c r="N12" s="14"/>
      <c r="O12" s="16"/>
      <c r="P12" s="59"/>
      <c r="Q12" s="59"/>
      <c r="R12" s="14"/>
      <c r="S12" s="16"/>
      <c r="T12" s="59"/>
      <c r="U12" s="59"/>
      <c r="V12" s="14"/>
      <c r="W12" s="16"/>
      <c r="X12" s="59"/>
      <c r="Y12" s="59"/>
      <c r="Z12" s="14"/>
      <c r="AA12" s="16"/>
      <c r="AB12" s="59"/>
      <c r="AC12" s="59"/>
      <c r="AD12" s="14"/>
      <c r="AE12" s="16"/>
      <c r="AF12" s="59"/>
      <c r="AG12" s="59"/>
      <c r="AH12" s="14"/>
      <c r="AI12" s="16"/>
      <c r="AJ12" s="59"/>
      <c r="AK12" s="59"/>
      <c r="AL12" s="14"/>
      <c r="AM12" s="16"/>
      <c r="AN12" s="59"/>
      <c r="AO12" s="59"/>
      <c r="AP12" s="14"/>
      <c r="AQ12" s="16"/>
      <c r="AR12" s="59"/>
      <c r="AS12" s="59"/>
      <c r="AT12" s="14"/>
      <c r="AU12" s="16"/>
      <c r="AV12" s="59"/>
      <c r="AW12" s="59"/>
      <c r="AX12" s="14"/>
      <c r="AY12" s="16"/>
    </row>
    <row r="13" spans="3:51" ht="20.25" customHeight="1" hidden="1" outlineLevel="1">
      <c r="C13" s="42"/>
      <c r="D13" s="211">
        <f>D14-1</f>
        <v>-1</v>
      </c>
      <c r="E13" s="212"/>
      <c r="F13" s="10" t="s">
        <v>52</v>
      </c>
      <c r="G13" s="6" t="s">
        <v>53</v>
      </c>
      <c r="H13" s="59"/>
      <c r="I13" s="59"/>
      <c r="J13" s="14"/>
      <c r="K13" s="16"/>
      <c r="L13" s="59"/>
      <c r="M13" s="59"/>
      <c r="N13" s="14"/>
      <c r="O13" s="16"/>
      <c r="P13" s="59"/>
      <c r="Q13" s="59"/>
      <c r="R13" s="14"/>
      <c r="S13" s="16"/>
      <c r="T13" s="59"/>
      <c r="U13" s="59"/>
      <c r="V13" s="14"/>
      <c r="W13" s="16"/>
      <c r="X13" s="59"/>
      <c r="Y13" s="59"/>
      <c r="Z13" s="14"/>
      <c r="AA13" s="16"/>
      <c r="AB13" s="59"/>
      <c r="AC13" s="59"/>
      <c r="AD13" s="14"/>
      <c r="AE13" s="16"/>
      <c r="AF13" s="59"/>
      <c r="AG13" s="59"/>
      <c r="AH13" s="14"/>
      <c r="AI13" s="16"/>
      <c r="AJ13" s="59"/>
      <c r="AK13" s="59"/>
      <c r="AL13" s="14"/>
      <c r="AM13" s="16"/>
      <c r="AN13" s="59"/>
      <c r="AO13" s="59"/>
      <c r="AP13" s="14"/>
      <c r="AQ13" s="16"/>
      <c r="AR13" s="59"/>
      <c r="AS13" s="59"/>
      <c r="AT13" s="14"/>
      <c r="AU13" s="16"/>
      <c r="AV13" s="59"/>
      <c r="AW13" s="59"/>
      <c r="AX13" s="14"/>
      <c r="AY13" s="16"/>
    </row>
    <row r="14" spans="3:51" ht="20.25" collapsed="1">
      <c r="C14" s="42"/>
      <c r="D14" s="222"/>
      <c r="E14" s="223"/>
      <c r="F14" s="10" t="s">
        <v>52</v>
      </c>
      <c r="G14" s="6" t="s">
        <v>53</v>
      </c>
      <c r="H14" s="7"/>
      <c r="I14" s="7"/>
      <c r="J14" s="15">
        <f>IF(I14="","",I14+$H$29)</f>
      </c>
      <c r="K14" s="155"/>
      <c r="L14" s="7"/>
      <c r="M14" s="7"/>
      <c r="N14" s="15">
        <f>IF(M14="","",M14+L29)</f>
      </c>
      <c r="O14" s="155"/>
      <c r="P14" s="7"/>
      <c r="Q14" s="7"/>
      <c r="R14" s="15">
        <f>IF(Q14="","",Q14+P29)</f>
      </c>
      <c r="S14" s="155"/>
      <c r="T14" s="7"/>
      <c r="U14" s="7"/>
      <c r="V14" s="15">
        <f>IF(U14="","",U14+T29)</f>
      </c>
      <c r="W14" s="155"/>
      <c r="X14" s="7"/>
      <c r="Y14" s="7"/>
      <c r="Z14" s="15">
        <f>IF(Y14="","",Y14+X29)</f>
      </c>
      <c r="AA14" s="155"/>
      <c r="AB14" s="7"/>
      <c r="AC14" s="7"/>
      <c r="AD14" s="15">
        <f>IF(AC14="","",AC14+AB29)</f>
      </c>
      <c r="AE14" s="155"/>
      <c r="AF14" s="7"/>
      <c r="AG14" s="7"/>
      <c r="AH14" s="15">
        <f>IF(AG14="","",AG14+AF29)</f>
      </c>
      <c r="AI14" s="155"/>
      <c r="AJ14" s="7"/>
      <c r="AK14" s="7"/>
      <c r="AL14" s="15">
        <f>IF(AK14="","",AK14+AJ29)</f>
      </c>
      <c r="AM14" s="155"/>
      <c r="AN14" s="7"/>
      <c r="AO14" s="7"/>
      <c r="AP14" s="15">
        <f>IF(AO14="","",AO14+AN29)</f>
      </c>
      <c r="AQ14" s="155"/>
      <c r="AR14" s="7"/>
      <c r="AS14" s="7"/>
      <c r="AT14" s="15">
        <f>IF(AS14="","",AS14+AR29)</f>
      </c>
      <c r="AU14" s="155"/>
      <c r="AV14" s="7"/>
      <c r="AW14" s="7"/>
      <c r="AX14" s="15">
        <f>IF(AW14="","",AW14+AV29)</f>
      </c>
      <c r="AY14" s="155"/>
    </row>
    <row r="15" spans="3:51" ht="20.25">
      <c r="C15" s="42"/>
      <c r="D15" s="211">
        <f>IF(D14="","",D14+1)</f>
      </c>
      <c r="E15" s="212"/>
      <c r="F15" s="10" t="s">
        <v>52</v>
      </c>
      <c r="G15" s="6" t="s">
        <v>45</v>
      </c>
      <c r="H15" s="7"/>
      <c r="I15" s="7"/>
      <c r="J15" s="58">
        <f>IF(I15="","",I15+$H$29)</f>
      </c>
      <c r="K15" s="155"/>
      <c r="L15" s="7"/>
      <c r="M15" s="7"/>
      <c r="N15" s="58">
        <f>IF(M15="","",M15+L29)</f>
      </c>
      <c r="O15" s="155"/>
      <c r="P15" s="7"/>
      <c r="Q15" s="7"/>
      <c r="R15" s="58">
        <f>IF(Q15="","",Q15+P29)</f>
      </c>
      <c r="S15" s="155"/>
      <c r="T15" s="7"/>
      <c r="U15" s="7"/>
      <c r="V15" s="58">
        <f>IF(U15="","",U15+T29)</f>
      </c>
      <c r="W15" s="155"/>
      <c r="X15" s="7"/>
      <c r="Y15" s="7"/>
      <c r="Z15" s="58">
        <f>IF(Y15="","",Y15+X29)</f>
      </c>
      <c r="AA15" s="155"/>
      <c r="AB15" s="7"/>
      <c r="AC15" s="7"/>
      <c r="AD15" s="58">
        <f>IF(AC15="","",AC15+AB29)</f>
      </c>
      <c r="AE15" s="155"/>
      <c r="AF15" s="7"/>
      <c r="AG15" s="7"/>
      <c r="AH15" s="58">
        <f>IF(AG15="","",AG15+AF29)</f>
      </c>
      <c r="AI15" s="155"/>
      <c r="AJ15" s="7"/>
      <c r="AK15" s="7"/>
      <c r="AL15" s="58">
        <f>IF(AK15="","",AK15+AJ29)</f>
      </c>
      <c r="AM15" s="155"/>
      <c r="AN15" s="7"/>
      <c r="AO15" s="7"/>
      <c r="AP15" s="58">
        <f>IF(AO15="","",AO15+AN29)</f>
      </c>
      <c r="AQ15" s="155"/>
      <c r="AR15" s="7"/>
      <c r="AS15" s="7"/>
      <c r="AT15" s="58">
        <f>IF(AS15="","",AS15+AR29)</f>
      </c>
      <c r="AU15" s="155"/>
      <c r="AV15" s="7"/>
      <c r="AW15" s="7"/>
      <c r="AX15" s="58">
        <f>IF(AW15="","",AW15+AV29)</f>
      </c>
      <c r="AY15" s="155"/>
    </row>
    <row r="16" spans="3:51" ht="20.25">
      <c r="C16" s="42"/>
      <c r="D16" s="211">
        <f>IF(D14="","",D15+1)</f>
      </c>
      <c r="E16" s="212"/>
      <c r="F16" s="10" t="s">
        <v>52</v>
      </c>
      <c r="G16" s="6" t="s">
        <v>45</v>
      </c>
      <c r="H16" s="7"/>
      <c r="I16" s="7"/>
      <c r="J16" s="58">
        <f>IF(I16="","",I16+$H$29)</f>
      </c>
      <c r="K16" s="155"/>
      <c r="L16" s="7"/>
      <c r="M16" s="7"/>
      <c r="N16" s="58">
        <f>IF(M16="","",M16+L29)</f>
      </c>
      <c r="O16" s="155"/>
      <c r="P16" s="7"/>
      <c r="Q16" s="7"/>
      <c r="R16" s="58">
        <f>IF(Q16="","",Q16+P29)</f>
      </c>
      <c r="S16" s="155"/>
      <c r="T16" s="7"/>
      <c r="U16" s="7"/>
      <c r="V16" s="58">
        <f>IF(U16="","",U16+T29)</f>
      </c>
      <c r="W16" s="155"/>
      <c r="X16" s="7"/>
      <c r="Y16" s="7"/>
      <c r="Z16" s="58">
        <f>IF(Y16="","",Y16+X29)</f>
      </c>
      <c r="AA16" s="155"/>
      <c r="AB16" s="7"/>
      <c r="AC16" s="7"/>
      <c r="AD16" s="58">
        <f>IF(AC16="","",AC16+AB29)</f>
      </c>
      <c r="AE16" s="155"/>
      <c r="AF16" s="7"/>
      <c r="AG16" s="7"/>
      <c r="AH16" s="58">
        <f>IF(AG16="","",AG16+AF29)</f>
      </c>
      <c r="AI16" s="155"/>
      <c r="AJ16" s="7"/>
      <c r="AK16" s="7"/>
      <c r="AL16" s="58">
        <f>IF(AK16="","",AK16+AJ29)</f>
      </c>
      <c r="AM16" s="155"/>
      <c r="AN16" s="7"/>
      <c r="AO16" s="7"/>
      <c r="AP16" s="58">
        <f>IF(AO16="","",AO16+AN29)</f>
      </c>
      <c r="AQ16" s="155"/>
      <c r="AR16" s="7"/>
      <c r="AS16" s="7"/>
      <c r="AT16" s="58">
        <f>IF(AS16="","",AS16+AR29)</f>
      </c>
      <c r="AU16" s="155"/>
      <c r="AV16" s="7"/>
      <c r="AW16" s="7"/>
      <c r="AX16" s="58">
        <f>IF(AW16="","",AW16+AV29)</f>
      </c>
      <c r="AY16" s="155"/>
    </row>
    <row r="17" spans="4:18" ht="20.25">
      <c r="D17" s="1" t="s">
        <v>73</v>
      </c>
      <c r="Q17" s="1"/>
      <c r="R17" s="1"/>
    </row>
    <row r="18" spans="3:51" ht="20.25">
      <c r="C18" s="47" t="s">
        <v>77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</row>
    <row r="19" spans="3:51" ht="20.25">
      <c r="C19" s="47"/>
      <c r="D19" s="140" t="s">
        <v>78</v>
      </c>
      <c r="E19" s="140"/>
      <c r="F19" s="140"/>
      <c r="G19" s="140"/>
      <c r="H19" s="238"/>
      <c r="I19" s="238"/>
      <c r="J19" s="238"/>
      <c r="K19" s="239"/>
      <c r="L19" s="238"/>
      <c r="M19" s="238"/>
      <c r="N19" s="238"/>
      <c r="O19" s="239"/>
      <c r="P19" s="243"/>
      <c r="Q19" s="238"/>
      <c r="R19" s="238"/>
      <c r="S19" s="239"/>
      <c r="T19" s="238"/>
      <c r="U19" s="238"/>
      <c r="V19" s="238"/>
      <c r="W19" s="239"/>
      <c r="X19" s="238"/>
      <c r="Y19" s="238"/>
      <c r="Z19" s="238"/>
      <c r="AA19" s="239"/>
      <c r="AB19" s="238"/>
      <c r="AC19" s="238"/>
      <c r="AD19" s="238"/>
      <c r="AE19" s="239"/>
      <c r="AF19" s="238"/>
      <c r="AG19" s="238"/>
      <c r="AH19" s="238"/>
      <c r="AI19" s="239"/>
      <c r="AJ19" s="238"/>
      <c r="AK19" s="238"/>
      <c r="AL19" s="238"/>
      <c r="AM19" s="239"/>
      <c r="AN19" s="238"/>
      <c r="AO19" s="238"/>
      <c r="AP19" s="238"/>
      <c r="AQ19" s="239"/>
      <c r="AR19" s="238"/>
      <c r="AS19" s="238"/>
      <c r="AT19" s="238"/>
      <c r="AU19" s="239"/>
      <c r="AV19" s="238"/>
      <c r="AW19" s="238"/>
      <c r="AX19" s="238"/>
      <c r="AY19" s="239"/>
    </row>
    <row r="20" spans="3:51" ht="20.25">
      <c r="C20" s="47"/>
      <c r="D20" s="142" t="s">
        <v>79</v>
      </c>
      <c r="E20" s="142"/>
      <c r="F20" s="142"/>
      <c r="G20" s="142"/>
      <c r="H20" s="238"/>
      <c r="I20" s="238"/>
      <c r="J20" s="238"/>
      <c r="K20" s="239"/>
      <c r="L20" s="238"/>
      <c r="M20" s="238"/>
      <c r="N20" s="238"/>
      <c r="O20" s="239"/>
      <c r="P20" s="243"/>
      <c r="Q20" s="238"/>
      <c r="R20" s="238"/>
      <c r="S20" s="239"/>
      <c r="T20" s="238"/>
      <c r="U20" s="238"/>
      <c r="V20" s="238"/>
      <c r="W20" s="239"/>
      <c r="X20" s="238"/>
      <c r="Y20" s="238"/>
      <c r="Z20" s="238"/>
      <c r="AA20" s="239"/>
      <c r="AB20" s="238"/>
      <c r="AC20" s="238"/>
      <c r="AD20" s="238"/>
      <c r="AE20" s="239"/>
      <c r="AF20" s="238"/>
      <c r="AG20" s="238"/>
      <c r="AH20" s="238"/>
      <c r="AI20" s="239"/>
      <c r="AJ20" s="238"/>
      <c r="AK20" s="238"/>
      <c r="AL20" s="238"/>
      <c r="AM20" s="239"/>
      <c r="AN20" s="238"/>
      <c r="AO20" s="238"/>
      <c r="AP20" s="238"/>
      <c r="AQ20" s="239"/>
      <c r="AR20" s="238"/>
      <c r="AS20" s="238"/>
      <c r="AT20" s="238"/>
      <c r="AU20" s="239"/>
      <c r="AV20" s="238"/>
      <c r="AW20" s="238"/>
      <c r="AX20" s="238"/>
      <c r="AY20" s="239"/>
    </row>
    <row r="21" spans="3:51" ht="20.25">
      <c r="C21" s="47"/>
      <c r="D21" s="140" t="s">
        <v>80</v>
      </c>
      <c r="E21" s="140"/>
      <c r="F21" s="140"/>
      <c r="G21" s="140"/>
      <c r="H21" s="236">
        <f>IF(H19="","",H19*(H20-H24)/10^6)</f>
      </c>
      <c r="I21" s="236"/>
      <c r="J21" s="236"/>
      <c r="K21" s="237"/>
      <c r="L21" s="236">
        <f>IF(L19="","",L19*(L20-L24)/10^6)</f>
      </c>
      <c r="M21" s="236"/>
      <c r="N21" s="236"/>
      <c r="O21" s="237"/>
      <c r="P21" s="236">
        <f>IF(P19="","",P19*(P20-P24)/10^6)</f>
      </c>
      <c r="Q21" s="236"/>
      <c r="R21" s="236"/>
      <c r="S21" s="237"/>
      <c r="T21" s="236">
        <f>IF(T19="","",T19*(T20-T24)/10^6)</f>
      </c>
      <c r="U21" s="236"/>
      <c r="V21" s="236"/>
      <c r="W21" s="237"/>
      <c r="X21" s="236">
        <f>IF(X19="","",X19*(X20-X24)/10^6)</f>
      </c>
      <c r="Y21" s="236"/>
      <c r="Z21" s="236"/>
      <c r="AA21" s="237"/>
      <c r="AB21" s="236">
        <f>IF(AB19="","",AB19*(AB20-AB24)/10^6)</f>
      </c>
      <c r="AC21" s="236"/>
      <c r="AD21" s="236"/>
      <c r="AE21" s="237"/>
      <c r="AF21" s="236">
        <f>IF(AF19="","",AF19*(AF20-AF24)/10^6)</f>
      </c>
      <c r="AG21" s="236"/>
      <c r="AH21" s="236"/>
      <c r="AI21" s="237"/>
      <c r="AJ21" s="236">
        <f>IF(AJ19="","",AJ19*(AJ20-AJ24)/10^6)</f>
      </c>
      <c r="AK21" s="236"/>
      <c r="AL21" s="236"/>
      <c r="AM21" s="237"/>
      <c r="AN21" s="236">
        <f>IF(AN19="","",AN19*(AN20-AN24)/10^6)</f>
      </c>
      <c r="AO21" s="236"/>
      <c r="AP21" s="236"/>
      <c r="AQ21" s="237"/>
      <c r="AR21" s="236">
        <f>IF(AR19="","",AR19*(AR20-AR24)/10^6)</f>
      </c>
      <c r="AS21" s="236"/>
      <c r="AT21" s="236"/>
      <c r="AU21" s="237"/>
      <c r="AV21" s="236">
        <f>IF(AV19="","",AV19*(AV20-AV24)/10^6)</f>
      </c>
      <c r="AW21" s="236"/>
      <c r="AX21" s="236"/>
      <c r="AY21" s="237"/>
    </row>
    <row r="22" spans="3:51" ht="20.25">
      <c r="C22" s="42"/>
      <c r="D22" s="147" t="s">
        <v>70</v>
      </c>
      <c r="E22" s="147"/>
      <c r="F22" s="147"/>
      <c r="G22" s="148"/>
      <c r="H22" s="202"/>
      <c r="I22" s="202"/>
      <c r="J22" s="202"/>
      <c r="K22" s="203"/>
      <c r="L22" s="202"/>
      <c r="M22" s="202"/>
      <c r="N22" s="202"/>
      <c r="O22" s="203"/>
      <c r="P22" s="202"/>
      <c r="Q22" s="202"/>
      <c r="R22" s="202"/>
      <c r="S22" s="203"/>
      <c r="T22" s="202"/>
      <c r="U22" s="202"/>
      <c r="V22" s="202"/>
      <c r="W22" s="203"/>
      <c r="X22" s="202"/>
      <c r="Y22" s="202"/>
      <c r="Z22" s="202"/>
      <c r="AA22" s="203"/>
      <c r="AB22" s="202"/>
      <c r="AC22" s="202"/>
      <c r="AD22" s="202"/>
      <c r="AE22" s="203"/>
      <c r="AF22" s="202"/>
      <c r="AG22" s="202"/>
      <c r="AH22" s="202"/>
      <c r="AI22" s="203"/>
      <c r="AJ22" s="202"/>
      <c r="AK22" s="202"/>
      <c r="AL22" s="202"/>
      <c r="AM22" s="203"/>
      <c r="AN22" s="202"/>
      <c r="AO22" s="202"/>
      <c r="AP22" s="202"/>
      <c r="AQ22" s="203"/>
      <c r="AR22" s="202"/>
      <c r="AS22" s="202"/>
      <c r="AT22" s="202"/>
      <c r="AU22" s="203"/>
      <c r="AV22" s="202"/>
      <c r="AW22" s="202"/>
      <c r="AX22" s="202"/>
      <c r="AY22" s="203"/>
    </row>
    <row r="23" spans="4:51" ht="20.25">
      <c r="D23" s="156" t="s">
        <v>46</v>
      </c>
      <c r="E23" s="156"/>
      <c r="F23" s="156"/>
      <c r="G23" s="156"/>
      <c r="H23" s="213">
        <f>_xlfn.IFERROR(H21+(H22-H30)+H26-SUM(H31:K32),"")</f>
      </c>
      <c r="I23" s="213"/>
      <c r="J23" s="213"/>
      <c r="K23" s="214"/>
      <c r="L23" s="213">
        <f>_xlfn.IFERROR(L21+(L22-L30)+L26-SUM(L31:O32),"")</f>
      </c>
      <c r="M23" s="213"/>
      <c r="N23" s="213"/>
      <c r="O23" s="214"/>
      <c r="P23" s="213">
        <f>_xlfn.IFERROR(P21+(P22-P30)+P26-SUM(P31:S32),"")</f>
      </c>
      <c r="Q23" s="213"/>
      <c r="R23" s="213"/>
      <c r="S23" s="214"/>
      <c r="T23" s="213">
        <f>_xlfn.IFERROR(T21+(T22-T30)+T26-SUM(T31:W32),"")</f>
      </c>
      <c r="U23" s="213"/>
      <c r="V23" s="213"/>
      <c r="W23" s="214"/>
      <c r="X23" s="213">
        <f>_xlfn.IFERROR(X21+(X22-X30)+X26-SUM(X31:AA32),"")</f>
      </c>
      <c r="Y23" s="213"/>
      <c r="Z23" s="213"/>
      <c r="AA23" s="214"/>
      <c r="AB23" s="213">
        <f>_xlfn.IFERROR(AB21+(AB22-AB30)+AB26-SUM(AB31:AE32),"")</f>
      </c>
      <c r="AC23" s="213"/>
      <c r="AD23" s="213"/>
      <c r="AE23" s="214"/>
      <c r="AF23" s="213">
        <f>_xlfn.IFERROR(AF21+(AF22-AF30)+AF26-SUM(AF31:AI32),"")</f>
      </c>
      <c r="AG23" s="213"/>
      <c r="AH23" s="213"/>
      <c r="AI23" s="214"/>
      <c r="AJ23" s="213">
        <f>_xlfn.IFERROR(AJ21+(AJ22-AJ30)+AJ26-SUM(AJ31:AM32),"")</f>
      </c>
      <c r="AK23" s="213"/>
      <c r="AL23" s="213"/>
      <c r="AM23" s="214"/>
      <c r="AN23" s="213">
        <f>_xlfn.IFERROR(AN21+(AN22-AN30)+AN26-SUM(AN31:AQ32),"")</f>
      </c>
      <c r="AO23" s="213"/>
      <c r="AP23" s="213"/>
      <c r="AQ23" s="214"/>
      <c r="AR23" s="213">
        <f>_xlfn.IFERROR(AR21+(AR22-AR30)+AR26-SUM(AR31:AU32),"")</f>
      </c>
      <c r="AS23" s="213"/>
      <c r="AT23" s="213"/>
      <c r="AU23" s="214"/>
      <c r="AV23" s="213">
        <f>_xlfn.IFERROR(AV21+(AV22-AV30)+AV26-SUM(AV31:AY32),"")</f>
      </c>
      <c r="AW23" s="213"/>
      <c r="AX23" s="213"/>
      <c r="AY23" s="214"/>
    </row>
    <row r="24" spans="3:51" ht="20.25">
      <c r="C24" s="47"/>
      <c r="D24" s="11" t="s">
        <v>47</v>
      </c>
      <c r="E24" s="11"/>
      <c r="F24" s="11"/>
      <c r="G24" s="11"/>
      <c r="H24" s="215"/>
      <c r="I24" s="215"/>
      <c r="J24" s="215"/>
      <c r="K24" s="216"/>
      <c r="L24" s="215"/>
      <c r="M24" s="215"/>
      <c r="N24" s="215"/>
      <c r="O24" s="216"/>
      <c r="P24" s="215"/>
      <c r="Q24" s="215"/>
      <c r="R24" s="215"/>
      <c r="S24" s="216"/>
      <c r="T24" s="215"/>
      <c r="U24" s="215"/>
      <c r="V24" s="215"/>
      <c r="W24" s="216"/>
      <c r="X24" s="215"/>
      <c r="Y24" s="215"/>
      <c r="Z24" s="215"/>
      <c r="AA24" s="216"/>
      <c r="AB24" s="215"/>
      <c r="AC24" s="215"/>
      <c r="AD24" s="215"/>
      <c r="AE24" s="216"/>
      <c r="AF24" s="215"/>
      <c r="AG24" s="215"/>
      <c r="AH24" s="215"/>
      <c r="AI24" s="216"/>
      <c r="AJ24" s="215"/>
      <c r="AK24" s="215"/>
      <c r="AL24" s="215"/>
      <c r="AM24" s="216"/>
      <c r="AN24" s="215"/>
      <c r="AO24" s="215"/>
      <c r="AP24" s="215"/>
      <c r="AQ24" s="216"/>
      <c r="AR24" s="215"/>
      <c r="AS24" s="215"/>
      <c r="AT24" s="215"/>
      <c r="AU24" s="216"/>
      <c r="AV24" s="215"/>
      <c r="AW24" s="215"/>
      <c r="AX24" s="215"/>
      <c r="AY24" s="216"/>
    </row>
    <row r="25" spans="3:51" ht="20.25">
      <c r="C25" s="47"/>
      <c r="D25" s="12" t="s">
        <v>124</v>
      </c>
      <c r="E25" s="12"/>
      <c r="F25" s="12"/>
      <c r="G25" s="23"/>
      <c r="H25" s="204"/>
      <c r="I25" s="204"/>
      <c r="J25" s="204"/>
      <c r="K25" s="205"/>
      <c r="L25" s="204"/>
      <c r="M25" s="204"/>
      <c r="N25" s="204"/>
      <c r="O25" s="205"/>
      <c r="P25" s="204"/>
      <c r="Q25" s="204"/>
      <c r="R25" s="204"/>
      <c r="S25" s="205"/>
      <c r="T25" s="204"/>
      <c r="U25" s="204"/>
      <c r="V25" s="204"/>
      <c r="W25" s="205"/>
      <c r="X25" s="204"/>
      <c r="Y25" s="204"/>
      <c r="Z25" s="204"/>
      <c r="AA25" s="205"/>
      <c r="AB25" s="204"/>
      <c r="AC25" s="204"/>
      <c r="AD25" s="204"/>
      <c r="AE25" s="205"/>
      <c r="AF25" s="204"/>
      <c r="AG25" s="204"/>
      <c r="AH25" s="204"/>
      <c r="AI25" s="205"/>
      <c r="AJ25" s="204"/>
      <c r="AK25" s="204"/>
      <c r="AL25" s="204"/>
      <c r="AM25" s="205"/>
      <c r="AN25" s="204"/>
      <c r="AO25" s="204"/>
      <c r="AP25" s="204"/>
      <c r="AQ25" s="205"/>
      <c r="AR25" s="204"/>
      <c r="AS25" s="204"/>
      <c r="AT25" s="204"/>
      <c r="AU25" s="205"/>
      <c r="AV25" s="204"/>
      <c r="AW25" s="204"/>
      <c r="AX25" s="204"/>
      <c r="AY25" s="205"/>
    </row>
    <row r="26" spans="3:51" ht="20.25">
      <c r="C26" s="42"/>
      <c r="D26" s="12" t="s">
        <v>68</v>
      </c>
      <c r="E26" s="12"/>
      <c r="F26" s="12"/>
      <c r="G26" s="11"/>
      <c r="H26" s="204"/>
      <c r="I26" s="204"/>
      <c r="J26" s="204"/>
      <c r="K26" s="205"/>
      <c r="L26" s="204"/>
      <c r="M26" s="204"/>
      <c r="N26" s="204"/>
      <c r="O26" s="205"/>
      <c r="P26" s="204"/>
      <c r="Q26" s="204"/>
      <c r="R26" s="204"/>
      <c r="S26" s="205"/>
      <c r="T26" s="204"/>
      <c r="U26" s="204"/>
      <c r="V26" s="204"/>
      <c r="W26" s="205"/>
      <c r="X26" s="204"/>
      <c r="Y26" s="204"/>
      <c r="Z26" s="204"/>
      <c r="AA26" s="205"/>
      <c r="AB26" s="204"/>
      <c r="AC26" s="204"/>
      <c r="AD26" s="204"/>
      <c r="AE26" s="205"/>
      <c r="AF26" s="204"/>
      <c r="AG26" s="204"/>
      <c r="AH26" s="204"/>
      <c r="AI26" s="205"/>
      <c r="AJ26" s="204"/>
      <c r="AK26" s="204"/>
      <c r="AL26" s="204"/>
      <c r="AM26" s="205"/>
      <c r="AN26" s="204"/>
      <c r="AO26" s="204"/>
      <c r="AP26" s="204"/>
      <c r="AQ26" s="205"/>
      <c r="AR26" s="204"/>
      <c r="AS26" s="204"/>
      <c r="AT26" s="204"/>
      <c r="AU26" s="205"/>
      <c r="AV26" s="204"/>
      <c r="AW26" s="204"/>
      <c r="AX26" s="204"/>
      <c r="AY26" s="205"/>
    </row>
    <row r="27" spans="17:18" ht="20.25">
      <c r="Q27" s="1"/>
      <c r="R27" s="1"/>
    </row>
    <row r="28" spans="3:51" ht="20.25">
      <c r="C28" s="49" t="s">
        <v>29</v>
      </c>
      <c r="D28" s="4"/>
      <c r="E28" s="4"/>
      <c r="F28" s="4"/>
      <c r="G28" s="4"/>
      <c r="H28" s="208" t="str">
        <f>$D$14&amp;$F$14</f>
        <v>年度</v>
      </c>
      <c r="I28" s="209"/>
      <c r="J28" s="209"/>
      <c r="K28" s="210"/>
      <c r="L28" s="208" t="str">
        <f>$D$14&amp;$F$14</f>
        <v>年度</v>
      </c>
      <c r="M28" s="209"/>
      <c r="N28" s="209"/>
      <c r="O28" s="210"/>
      <c r="P28" s="208" t="str">
        <f>$D$14&amp;$F$14</f>
        <v>年度</v>
      </c>
      <c r="Q28" s="209"/>
      <c r="R28" s="209"/>
      <c r="S28" s="210"/>
      <c r="T28" s="208" t="str">
        <f>$D$14&amp;$F$14</f>
        <v>年度</v>
      </c>
      <c r="U28" s="209"/>
      <c r="V28" s="209"/>
      <c r="W28" s="210"/>
      <c r="X28" s="208" t="str">
        <f>$D$14&amp;$F$14</f>
        <v>年度</v>
      </c>
      <c r="Y28" s="209"/>
      <c r="Z28" s="209"/>
      <c r="AA28" s="210"/>
      <c r="AB28" s="208" t="str">
        <f>$D$14&amp;$F$14</f>
        <v>年度</v>
      </c>
      <c r="AC28" s="209"/>
      <c r="AD28" s="209"/>
      <c r="AE28" s="210"/>
      <c r="AF28" s="208" t="str">
        <f>$D$14&amp;$F$14</f>
        <v>年度</v>
      </c>
      <c r="AG28" s="209"/>
      <c r="AH28" s="209"/>
      <c r="AI28" s="210"/>
      <c r="AJ28" s="208" t="str">
        <f>$D$14&amp;$F$14</f>
        <v>年度</v>
      </c>
      <c r="AK28" s="209"/>
      <c r="AL28" s="209"/>
      <c r="AM28" s="210"/>
      <c r="AN28" s="208" t="str">
        <f>$D$14&amp;$F$14</f>
        <v>年度</v>
      </c>
      <c r="AO28" s="209"/>
      <c r="AP28" s="209"/>
      <c r="AQ28" s="210"/>
      <c r="AR28" s="208" t="str">
        <f>$D$14&amp;$F$14</f>
        <v>年度</v>
      </c>
      <c r="AS28" s="209"/>
      <c r="AT28" s="209"/>
      <c r="AU28" s="210"/>
      <c r="AV28" s="208" t="str">
        <f>$D$14&amp;$F$14</f>
        <v>年度</v>
      </c>
      <c r="AW28" s="209"/>
      <c r="AX28" s="209"/>
      <c r="AY28" s="210"/>
    </row>
    <row r="29" spans="3:51" ht="20.25">
      <c r="C29" s="50"/>
      <c r="D29" s="147" t="s">
        <v>30</v>
      </c>
      <c r="E29" s="147"/>
      <c r="F29" s="147"/>
      <c r="G29" s="148"/>
      <c r="H29" s="202"/>
      <c r="I29" s="202"/>
      <c r="J29" s="202"/>
      <c r="K29" s="203"/>
      <c r="L29" s="202"/>
      <c r="M29" s="202"/>
      <c r="N29" s="202"/>
      <c r="O29" s="203"/>
      <c r="P29" s="202"/>
      <c r="Q29" s="202"/>
      <c r="R29" s="202"/>
      <c r="S29" s="203"/>
      <c r="T29" s="202"/>
      <c r="U29" s="202"/>
      <c r="V29" s="202"/>
      <c r="W29" s="203"/>
      <c r="X29" s="202"/>
      <c r="Y29" s="202"/>
      <c r="Z29" s="202"/>
      <c r="AA29" s="203"/>
      <c r="AB29" s="202"/>
      <c r="AC29" s="202"/>
      <c r="AD29" s="202"/>
      <c r="AE29" s="203"/>
      <c r="AF29" s="202"/>
      <c r="AG29" s="202"/>
      <c r="AH29" s="202"/>
      <c r="AI29" s="203"/>
      <c r="AJ29" s="202"/>
      <c r="AK29" s="202"/>
      <c r="AL29" s="202"/>
      <c r="AM29" s="203"/>
      <c r="AN29" s="202"/>
      <c r="AO29" s="202"/>
      <c r="AP29" s="202"/>
      <c r="AQ29" s="203"/>
      <c r="AR29" s="202"/>
      <c r="AS29" s="202"/>
      <c r="AT29" s="202"/>
      <c r="AU29" s="203"/>
      <c r="AV29" s="202"/>
      <c r="AW29" s="202"/>
      <c r="AX29" s="202"/>
      <c r="AY29" s="203"/>
    </row>
    <row r="30" spans="3:51" ht="20.25">
      <c r="C30" s="42"/>
      <c r="D30" s="141" t="s">
        <v>24</v>
      </c>
      <c r="E30" s="141"/>
      <c r="F30" s="141"/>
      <c r="G30" s="142"/>
      <c r="H30" s="202"/>
      <c r="I30" s="202"/>
      <c r="J30" s="202"/>
      <c r="K30" s="203"/>
      <c r="L30" s="202"/>
      <c r="M30" s="202"/>
      <c r="N30" s="202"/>
      <c r="O30" s="203"/>
      <c r="P30" s="202"/>
      <c r="Q30" s="202"/>
      <c r="R30" s="202"/>
      <c r="S30" s="203"/>
      <c r="T30" s="202"/>
      <c r="U30" s="202"/>
      <c r="V30" s="202"/>
      <c r="W30" s="203"/>
      <c r="X30" s="202"/>
      <c r="Y30" s="202"/>
      <c r="Z30" s="202"/>
      <c r="AA30" s="203"/>
      <c r="AB30" s="202"/>
      <c r="AC30" s="202"/>
      <c r="AD30" s="202"/>
      <c r="AE30" s="203"/>
      <c r="AF30" s="202"/>
      <c r="AG30" s="202"/>
      <c r="AH30" s="202"/>
      <c r="AI30" s="203"/>
      <c r="AJ30" s="202"/>
      <c r="AK30" s="202"/>
      <c r="AL30" s="202"/>
      <c r="AM30" s="203"/>
      <c r="AN30" s="202"/>
      <c r="AO30" s="202"/>
      <c r="AP30" s="202"/>
      <c r="AQ30" s="203"/>
      <c r="AR30" s="202"/>
      <c r="AS30" s="202"/>
      <c r="AT30" s="202"/>
      <c r="AU30" s="203"/>
      <c r="AV30" s="202"/>
      <c r="AW30" s="202"/>
      <c r="AX30" s="202"/>
      <c r="AY30" s="203"/>
    </row>
    <row r="31" spans="3:51" ht="20.25">
      <c r="C31" s="42"/>
      <c r="D31" s="12" t="s">
        <v>49</v>
      </c>
      <c r="E31" s="12"/>
      <c r="F31" s="12"/>
      <c r="G31" s="11"/>
      <c r="H31" s="204"/>
      <c r="I31" s="204"/>
      <c r="J31" s="204"/>
      <c r="K31" s="205"/>
      <c r="L31" s="204"/>
      <c r="M31" s="204"/>
      <c r="N31" s="204"/>
      <c r="O31" s="205"/>
      <c r="P31" s="204"/>
      <c r="Q31" s="204"/>
      <c r="R31" s="204"/>
      <c r="S31" s="205"/>
      <c r="T31" s="204"/>
      <c r="U31" s="204"/>
      <c r="V31" s="204"/>
      <c r="W31" s="205"/>
      <c r="X31" s="204"/>
      <c r="Y31" s="204"/>
      <c r="Z31" s="204"/>
      <c r="AA31" s="205"/>
      <c r="AB31" s="204"/>
      <c r="AC31" s="204"/>
      <c r="AD31" s="204"/>
      <c r="AE31" s="205"/>
      <c r="AF31" s="204"/>
      <c r="AG31" s="204"/>
      <c r="AH31" s="204"/>
      <c r="AI31" s="205"/>
      <c r="AJ31" s="204"/>
      <c r="AK31" s="204"/>
      <c r="AL31" s="204"/>
      <c r="AM31" s="205"/>
      <c r="AN31" s="204"/>
      <c r="AO31" s="204"/>
      <c r="AP31" s="204"/>
      <c r="AQ31" s="205"/>
      <c r="AR31" s="204"/>
      <c r="AS31" s="204"/>
      <c r="AT31" s="204"/>
      <c r="AU31" s="205"/>
      <c r="AV31" s="204"/>
      <c r="AW31" s="204"/>
      <c r="AX31" s="204"/>
      <c r="AY31" s="205"/>
    </row>
    <row r="32" spans="3:51" ht="20.25">
      <c r="C32" s="42"/>
      <c r="D32" s="12" t="s">
        <v>48</v>
      </c>
      <c r="E32" s="12"/>
      <c r="F32" s="12"/>
      <c r="G32" s="11"/>
      <c r="H32" s="204"/>
      <c r="I32" s="204"/>
      <c r="J32" s="204"/>
      <c r="K32" s="205"/>
      <c r="L32" s="204"/>
      <c r="M32" s="204"/>
      <c r="N32" s="204"/>
      <c r="O32" s="205"/>
      <c r="P32" s="204"/>
      <c r="Q32" s="204"/>
      <c r="R32" s="204"/>
      <c r="S32" s="205"/>
      <c r="T32" s="204"/>
      <c r="U32" s="204"/>
      <c r="V32" s="204"/>
      <c r="W32" s="205"/>
      <c r="X32" s="204"/>
      <c r="Y32" s="204"/>
      <c r="Z32" s="204"/>
      <c r="AA32" s="205"/>
      <c r="AB32" s="204"/>
      <c r="AC32" s="204"/>
      <c r="AD32" s="204"/>
      <c r="AE32" s="205"/>
      <c r="AF32" s="204"/>
      <c r="AG32" s="204"/>
      <c r="AH32" s="204"/>
      <c r="AI32" s="205"/>
      <c r="AJ32" s="204"/>
      <c r="AK32" s="204"/>
      <c r="AL32" s="204"/>
      <c r="AM32" s="205"/>
      <c r="AN32" s="204"/>
      <c r="AO32" s="204"/>
      <c r="AP32" s="204"/>
      <c r="AQ32" s="205"/>
      <c r="AR32" s="204"/>
      <c r="AS32" s="204"/>
      <c r="AT32" s="204"/>
      <c r="AU32" s="205"/>
      <c r="AV32" s="204"/>
      <c r="AW32" s="204"/>
      <c r="AX32" s="204"/>
      <c r="AY32" s="205"/>
    </row>
    <row r="33" spans="3:51" ht="20.25">
      <c r="C33" s="42"/>
      <c r="D33" s="5"/>
      <c r="E33" s="5"/>
      <c r="F33" s="5"/>
      <c r="G33" s="4"/>
      <c r="H33" s="4"/>
      <c r="I33" s="22"/>
      <c r="J33" s="4"/>
      <c r="K33" s="4"/>
      <c r="L33" s="4"/>
      <c r="O33" s="4"/>
      <c r="S33" s="4"/>
      <c r="W33" s="4"/>
      <c r="AA33" s="4"/>
      <c r="AE33" s="4"/>
      <c r="AI33" s="4"/>
      <c r="AM33" s="4"/>
      <c r="AQ33" s="4"/>
      <c r="AU33" s="4"/>
      <c r="AY33" s="4"/>
    </row>
    <row r="34" spans="2:51" s="13" customFormat="1" ht="21.75">
      <c r="B34" s="13" t="s">
        <v>82</v>
      </c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O34" s="175"/>
      <c r="Q34" s="139"/>
      <c r="R34" s="139"/>
      <c r="S34" s="175"/>
      <c r="W34" s="175"/>
      <c r="AA34" s="175"/>
      <c r="AE34" s="175"/>
      <c r="AI34" s="175"/>
      <c r="AM34" s="175"/>
      <c r="AQ34" s="175"/>
      <c r="AU34" s="175"/>
      <c r="AY34" s="175"/>
    </row>
    <row r="35" spans="4:47" s="69" customFormat="1" ht="44.25" customHeight="1">
      <c r="D35" s="224"/>
      <c r="E35" s="225"/>
      <c r="F35" s="225"/>
      <c r="G35" s="226"/>
      <c r="H35" s="70" t="s">
        <v>101</v>
      </c>
      <c r="I35" s="71" t="s">
        <v>100</v>
      </c>
      <c r="J35" s="72"/>
      <c r="K35" s="72"/>
      <c r="L35" s="72"/>
      <c r="O35" s="72"/>
      <c r="Q35" s="73"/>
      <c r="R35" s="73"/>
      <c r="S35" s="72"/>
      <c r="AI35" s="72"/>
      <c r="AM35" s="72"/>
      <c r="AQ35" s="72"/>
      <c r="AU35" s="72"/>
    </row>
    <row r="36" spans="3:47" ht="20.25">
      <c r="C36" s="42"/>
      <c r="D36" s="65" t="s">
        <v>12</v>
      </c>
      <c r="E36" s="66"/>
      <c r="F36" s="67"/>
      <c r="G36" s="64"/>
      <c r="H36" s="60"/>
      <c r="I36" s="61">
        <f>_xlfn.IFERROR(H36/$H$36,"")</f>
      </c>
      <c r="J36" s="4"/>
      <c r="K36" s="4"/>
      <c r="L36" s="20"/>
      <c r="O36" s="4"/>
      <c r="S36" s="4"/>
      <c r="AI36" s="4"/>
      <c r="AM36" s="4"/>
      <c r="AQ36" s="4"/>
      <c r="AU36" s="4"/>
    </row>
    <row r="37" spans="3:47" ht="20.25">
      <c r="C37" s="42"/>
      <c r="D37" s="65" t="s">
        <v>13</v>
      </c>
      <c r="E37" s="66"/>
      <c r="F37" s="67"/>
      <c r="G37" s="64" t="s">
        <v>138</v>
      </c>
      <c r="H37" s="60"/>
      <c r="I37" s="61">
        <f>_xlfn.IFERROR(H37/$H$36,"")</f>
      </c>
      <c r="J37" s="4"/>
      <c r="K37" s="4"/>
      <c r="L37" s="20"/>
      <c r="O37" s="4"/>
      <c r="S37" s="4"/>
      <c r="AI37" s="4"/>
      <c r="AM37" s="4"/>
      <c r="AQ37" s="4"/>
      <c r="AU37" s="4"/>
    </row>
    <row r="38" spans="3:47" ht="20.25">
      <c r="C38" s="42"/>
      <c r="D38" s="65" t="s">
        <v>14</v>
      </c>
      <c r="E38" s="66"/>
      <c r="F38" s="67"/>
      <c r="G38" s="64"/>
      <c r="H38" s="74">
        <f>J14</f>
      </c>
      <c r="I38" s="61">
        <f>_xlfn.IFERROR(H38/$H$36,"")</f>
      </c>
      <c r="J38" s="4"/>
      <c r="K38" s="4"/>
      <c r="L38" s="20"/>
      <c r="O38" s="4"/>
      <c r="P38" s="4"/>
      <c r="Q38" s="4"/>
      <c r="S38" s="4"/>
      <c r="AI38" s="4"/>
      <c r="AM38" s="4"/>
      <c r="AQ38" s="4"/>
      <c r="AU38" s="4"/>
    </row>
    <row r="39" spans="3:47" ht="20.25">
      <c r="C39" s="42"/>
      <c r="D39" s="66" t="s">
        <v>15</v>
      </c>
      <c r="E39" s="68"/>
      <c r="F39" s="67"/>
      <c r="G39" s="64" t="s">
        <v>139</v>
      </c>
      <c r="H39" s="62">
        <f>_xlfn.IFERROR(H37*(1-$H$40),"")</f>
        <v>0</v>
      </c>
      <c r="I39" s="61">
        <f>_xlfn.IFERROR(H39/$H$36,"")</f>
      </c>
      <c r="J39" s="4"/>
      <c r="K39" s="4"/>
      <c r="L39" s="20"/>
      <c r="O39" s="4"/>
      <c r="S39" s="4"/>
      <c r="AI39" s="4"/>
      <c r="AM39" s="4"/>
      <c r="AQ39" s="4"/>
      <c r="AU39" s="4"/>
    </row>
    <row r="40" spans="3:47" ht="20.25">
      <c r="C40" s="42"/>
      <c r="D40" s="65" t="s">
        <v>51</v>
      </c>
      <c r="E40" s="66"/>
      <c r="F40" s="67"/>
      <c r="G40" s="64" t="s">
        <v>140</v>
      </c>
      <c r="H40" s="63">
        <v>0.3</v>
      </c>
      <c r="I40" s="189"/>
      <c r="J40" s="4"/>
      <c r="K40" s="4"/>
      <c r="L40" s="4"/>
      <c r="O40" s="4"/>
      <c r="S40" s="4"/>
      <c r="AI40" s="4"/>
      <c r="AM40" s="4"/>
      <c r="AQ40" s="4"/>
      <c r="AU40" s="4"/>
    </row>
    <row r="41" spans="4:47" ht="20.25">
      <c r="D41" s="1" t="s">
        <v>144</v>
      </c>
      <c r="F41" s="5"/>
      <c r="G41" s="4"/>
      <c r="H41" s="4"/>
      <c r="I41" s="4"/>
      <c r="J41" s="4"/>
      <c r="K41" s="4"/>
      <c r="L41" s="4"/>
      <c r="O41" s="4"/>
      <c r="S41" s="4"/>
      <c r="AI41" s="4"/>
      <c r="AM41" s="4"/>
      <c r="AQ41" s="4"/>
      <c r="AU41" s="4"/>
    </row>
    <row r="42" spans="4:12" ht="20.25">
      <c r="D42" s="227" t="s">
        <v>22</v>
      </c>
      <c r="E42" s="228"/>
      <c r="F42" s="228"/>
      <c r="G42" s="229"/>
      <c r="H42" s="79"/>
      <c r="L42" s="4"/>
    </row>
    <row r="43" spans="4:9" ht="20.25">
      <c r="D43" s="80" t="s">
        <v>20</v>
      </c>
      <c r="E43" s="80"/>
      <c r="F43" s="80"/>
      <c r="G43" s="80"/>
      <c r="H43" s="79">
        <f>IF(H31="","",H31+H32)</f>
      </c>
      <c r="I43" s="1" t="s">
        <v>19</v>
      </c>
    </row>
    <row r="44" ht="20.25"/>
    <row r="45" spans="2:47" ht="20.25">
      <c r="B45" s="1" t="s">
        <v>0</v>
      </c>
      <c r="F45" s="5"/>
      <c r="G45" s="4"/>
      <c r="H45" s="4"/>
      <c r="I45" s="4"/>
      <c r="J45" s="4"/>
      <c r="K45" s="4"/>
      <c r="L45" s="4"/>
      <c r="O45" s="4"/>
      <c r="S45" s="4"/>
      <c r="AI45" s="4"/>
      <c r="AM45" s="4"/>
      <c r="AQ45" s="4"/>
      <c r="AU45" s="4"/>
    </row>
    <row r="46" spans="3:47" s="43" customFormat="1" ht="20.25">
      <c r="C46" s="52" t="s">
        <v>3</v>
      </c>
      <c r="D46" s="150" t="s">
        <v>2</v>
      </c>
      <c r="E46" s="150"/>
      <c r="F46" s="154"/>
      <c r="G46" s="154"/>
      <c r="H46" s="152">
        <f>_xlfn.IFERROR(H47*(1-H40),"")</f>
        <v>0</v>
      </c>
      <c r="I46" s="42" t="s">
        <v>98</v>
      </c>
      <c r="J46" s="44"/>
      <c r="K46" s="44"/>
      <c r="L46" s="44"/>
      <c r="O46" s="44"/>
      <c r="Q46" s="45"/>
      <c r="R46" s="45"/>
      <c r="S46" s="44"/>
      <c r="AI46" s="44"/>
      <c r="AM46" s="44"/>
      <c r="AQ46" s="44"/>
      <c r="AU46" s="44"/>
    </row>
    <row r="47" spans="3:47" ht="20.25">
      <c r="C47" s="51"/>
      <c r="D47" s="217" t="s">
        <v>1</v>
      </c>
      <c r="E47" s="218"/>
      <c r="F47" s="218"/>
      <c r="G47" s="219"/>
      <c r="H47" s="149">
        <f>IF(SUM(H50:H51)=0,0,_xlfn.IFERROR(SUM(H48:H49)/SUM(H50:H51),""))</f>
        <v>0</v>
      </c>
      <c r="I47" s="4"/>
      <c r="J47" s="4"/>
      <c r="K47" s="4"/>
      <c r="L47" s="4"/>
      <c r="O47" s="4"/>
      <c r="S47" s="4"/>
      <c r="AI47" s="4"/>
      <c r="AM47" s="4"/>
      <c r="AQ47" s="4"/>
      <c r="AU47" s="4"/>
    </row>
    <row r="48" spans="3:51" ht="20.25">
      <c r="C48" s="51"/>
      <c r="D48" s="220"/>
      <c r="E48" s="38" t="s">
        <v>96</v>
      </c>
      <c r="F48" s="39"/>
      <c r="G48" s="40"/>
      <c r="H48" s="161"/>
      <c r="I48" s="4"/>
      <c r="J48" s="4"/>
      <c r="K48" s="4"/>
      <c r="L48" s="4"/>
      <c r="O48" s="4"/>
      <c r="S48" s="4"/>
      <c r="W48" s="4"/>
      <c r="AA48" s="4"/>
      <c r="AE48" s="4"/>
      <c r="AI48" s="4"/>
      <c r="AM48" s="4"/>
      <c r="AQ48" s="4"/>
      <c r="AU48" s="4"/>
      <c r="AY48" s="4"/>
    </row>
    <row r="49" spans="3:51" ht="20.25">
      <c r="C49" s="51"/>
      <c r="D49" s="220"/>
      <c r="E49" s="38" t="s">
        <v>97</v>
      </c>
      <c r="F49" s="39"/>
      <c r="G49" s="40"/>
      <c r="H49" s="161"/>
      <c r="I49" s="4"/>
      <c r="J49" s="4"/>
      <c r="K49" s="4"/>
      <c r="L49" s="4"/>
      <c r="O49" s="4"/>
      <c r="S49" s="4"/>
      <c r="W49" s="4"/>
      <c r="AA49" s="4"/>
      <c r="AE49" s="4"/>
      <c r="AI49" s="4"/>
      <c r="AM49" s="4"/>
      <c r="AQ49" s="4"/>
      <c r="AU49" s="4"/>
      <c r="AY49" s="4"/>
    </row>
    <row r="50" spans="3:51" ht="20.25">
      <c r="C50" s="51"/>
      <c r="D50" s="220"/>
      <c r="E50" s="38" t="s">
        <v>94</v>
      </c>
      <c r="F50" s="39"/>
      <c r="G50" s="40"/>
      <c r="H50" s="164">
        <f>IF(H22="","",H22)</f>
      </c>
      <c r="I50" s="4"/>
      <c r="J50" s="4"/>
      <c r="K50" s="4"/>
      <c r="L50" s="4"/>
      <c r="O50" s="4"/>
      <c r="S50" s="4"/>
      <c r="W50" s="4"/>
      <c r="AA50" s="4"/>
      <c r="AE50" s="4"/>
      <c r="AI50" s="4"/>
      <c r="AM50" s="4"/>
      <c r="AQ50" s="4"/>
      <c r="AU50" s="4"/>
      <c r="AY50" s="4"/>
    </row>
    <row r="51" spans="3:51" ht="20.25">
      <c r="C51" s="51"/>
      <c r="D51" s="221"/>
      <c r="E51" s="38" t="s">
        <v>95</v>
      </c>
      <c r="F51" s="39"/>
      <c r="G51" s="40"/>
      <c r="H51" s="161"/>
      <c r="I51" s="4"/>
      <c r="J51" s="4"/>
      <c r="K51" s="4"/>
      <c r="L51" s="4"/>
      <c r="O51" s="4"/>
      <c r="S51" s="4"/>
      <c r="W51" s="4"/>
      <c r="AA51" s="4"/>
      <c r="AE51" s="4"/>
      <c r="AI51" s="4"/>
      <c r="AM51" s="4"/>
      <c r="AQ51" s="4"/>
      <c r="AU51" s="4"/>
      <c r="AY51" s="4"/>
    </row>
    <row r="52" spans="3:51" ht="20.25">
      <c r="C52" s="51"/>
      <c r="F52" s="5"/>
      <c r="G52" s="4"/>
      <c r="H52" s="4"/>
      <c r="I52" s="4"/>
      <c r="J52" s="4"/>
      <c r="K52" s="4"/>
      <c r="L52" s="4"/>
      <c r="O52" s="4"/>
      <c r="S52" s="4"/>
      <c r="W52" s="4"/>
      <c r="AA52" s="4"/>
      <c r="AE52" s="4"/>
      <c r="AI52" s="4"/>
      <c r="AM52" s="4"/>
      <c r="AQ52" s="4"/>
      <c r="AU52" s="4"/>
      <c r="AY52" s="4"/>
    </row>
    <row r="53" spans="3:51" ht="20.25">
      <c r="C53" s="51" t="s">
        <v>4</v>
      </c>
      <c r="D53" s="150" t="s">
        <v>5</v>
      </c>
      <c r="E53" s="150"/>
      <c r="F53" s="151"/>
      <c r="G53" s="151"/>
      <c r="H53" s="152">
        <f>IF(H54="","",H54+H56*H55+H57)</f>
      </c>
      <c r="I53" s="4"/>
      <c r="J53" s="4"/>
      <c r="K53" s="4"/>
      <c r="L53" s="4"/>
      <c r="O53" s="4"/>
      <c r="S53" s="4"/>
      <c r="W53" s="4"/>
      <c r="AA53" s="4"/>
      <c r="AE53" s="4"/>
      <c r="AI53" s="4"/>
      <c r="AM53" s="4"/>
      <c r="AQ53" s="4"/>
      <c r="AU53" s="4"/>
      <c r="AY53" s="4"/>
    </row>
    <row r="54" spans="3:51" ht="20.25">
      <c r="C54" s="51"/>
      <c r="D54" s="53" t="s">
        <v>7</v>
      </c>
      <c r="E54" s="53"/>
      <c r="F54" s="162"/>
      <c r="G54" s="163"/>
      <c r="H54" s="54"/>
      <c r="I54" s="4" t="s">
        <v>16</v>
      </c>
      <c r="J54" s="4"/>
      <c r="K54" s="4"/>
      <c r="L54" s="4"/>
      <c r="O54" s="4"/>
      <c r="S54" s="4"/>
      <c r="W54" s="4"/>
      <c r="AA54" s="4"/>
      <c r="AE54" s="4"/>
      <c r="AI54" s="4"/>
      <c r="AM54" s="4"/>
      <c r="AQ54" s="4"/>
      <c r="AU54" s="4"/>
      <c r="AY54" s="4"/>
    </row>
    <row r="55" spans="3:51" ht="20.25">
      <c r="C55" s="51"/>
      <c r="D55" s="199" t="s">
        <v>6</v>
      </c>
      <c r="E55" s="200"/>
      <c r="F55" s="200"/>
      <c r="G55" s="201"/>
      <c r="H55" s="55">
        <v>0.05</v>
      </c>
      <c r="I55" s="4"/>
      <c r="J55" s="4"/>
      <c r="K55" s="4"/>
      <c r="L55" s="4"/>
      <c r="O55" s="4"/>
      <c r="S55" s="4"/>
      <c r="W55" s="4"/>
      <c r="AA55" s="4"/>
      <c r="AE55" s="4"/>
      <c r="AI55" s="4"/>
      <c r="AM55" s="4"/>
      <c r="AQ55" s="4"/>
      <c r="AU55" s="4"/>
      <c r="AY55" s="4"/>
    </row>
    <row r="56" spans="3:51" ht="20.25">
      <c r="C56" s="51"/>
      <c r="D56" s="199" t="s">
        <v>8</v>
      </c>
      <c r="E56" s="200"/>
      <c r="F56" s="200"/>
      <c r="G56" s="201"/>
      <c r="H56" s="56"/>
      <c r="I56" s="4" t="s">
        <v>149</v>
      </c>
      <c r="J56" s="4"/>
      <c r="K56" s="4"/>
      <c r="L56" s="4"/>
      <c r="O56" s="4"/>
      <c r="S56" s="4"/>
      <c r="W56" s="4"/>
      <c r="AA56" s="4"/>
      <c r="AE56" s="4"/>
      <c r="AI56" s="4"/>
      <c r="AM56" s="4"/>
      <c r="AQ56" s="4"/>
      <c r="AU56" s="4"/>
      <c r="AY56" s="4"/>
    </row>
    <row r="57" spans="3:51" ht="20.25">
      <c r="C57" s="51"/>
      <c r="D57" s="53" t="s">
        <v>9</v>
      </c>
      <c r="E57" s="53"/>
      <c r="F57" s="39"/>
      <c r="G57" s="40"/>
      <c r="H57" s="54"/>
      <c r="I57" s="1" t="s">
        <v>150</v>
      </c>
      <c r="J57" s="4"/>
      <c r="K57" s="4"/>
      <c r="L57" s="4"/>
      <c r="O57" s="4"/>
      <c r="S57" s="4"/>
      <c r="W57" s="4"/>
      <c r="AA57" s="4"/>
      <c r="AE57" s="4"/>
      <c r="AI57" s="4"/>
      <c r="AM57" s="4"/>
      <c r="AQ57" s="4"/>
      <c r="AU57" s="4"/>
      <c r="AY57" s="4"/>
    </row>
    <row r="58" spans="3:51" ht="20.25">
      <c r="C58" s="51"/>
      <c r="D58" s="171"/>
      <c r="E58" s="171"/>
      <c r="F58" s="5"/>
      <c r="G58" s="4"/>
      <c r="H58" s="4"/>
      <c r="I58" s="1" t="s">
        <v>151</v>
      </c>
      <c r="J58" s="4"/>
      <c r="K58" s="4"/>
      <c r="L58" s="4"/>
      <c r="O58" s="4"/>
      <c r="S58" s="4"/>
      <c r="W58" s="4"/>
      <c r="AA58" s="4"/>
      <c r="AE58" s="4"/>
      <c r="AI58" s="4"/>
      <c r="AM58" s="4"/>
      <c r="AQ58" s="4"/>
      <c r="AU58" s="4"/>
      <c r="AY58" s="4"/>
    </row>
    <row r="59" spans="3:51" ht="20.25">
      <c r="C59" s="51"/>
      <c r="D59" s="171"/>
      <c r="E59" s="171"/>
      <c r="F59" s="5"/>
      <c r="G59" s="4"/>
      <c r="H59" s="4"/>
      <c r="I59" s="281" t="s">
        <v>152</v>
      </c>
      <c r="J59" s="163"/>
      <c r="K59" s="284" t="s">
        <v>154</v>
      </c>
      <c r="L59" s="284" t="s">
        <v>155</v>
      </c>
      <c r="M59" s="285" t="s">
        <v>156</v>
      </c>
      <c r="N59" s="285" t="s">
        <v>157</v>
      </c>
      <c r="O59" s="284" t="s">
        <v>158</v>
      </c>
      <c r="P59" s="284" t="s">
        <v>159</v>
      </c>
      <c r="Q59" s="284" t="s">
        <v>160</v>
      </c>
      <c r="R59" s="284" t="s">
        <v>161</v>
      </c>
      <c r="S59" s="284" t="s">
        <v>162</v>
      </c>
      <c r="T59" s="284" t="s">
        <v>163</v>
      </c>
      <c r="U59" s="284" t="s">
        <v>164</v>
      </c>
      <c r="W59" s="4"/>
      <c r="AA59" s="4"/>
      <c r="AE59" s="4"/>
      <c r="AI59" s="4"/>
      <c r="AM59" s="4"/>
      <c r="AQ59" s="4"/>
      <c r="AU59" s="4"/>
      <c r="AY59" s="4"/>
    </row>
    <row r="60" spans="3:21" ht="21.75" customHeight="1">
      <c r="C60" s="51"/>
      <c r="I60" s="279" t="s">
        <v>153</v>
      </c>
      <c r="J60" s="280"/>
      <c r="K60" s="283">
        <v>0.07</v>
      </c>
      <c r="L60" s="283">
        <v>0.055</v>
      </c>
      <c r="M60" s="282">
        <v>0.045</v>
      </c>
      <c r="N60" s="282">
        <v>0.035</v>
      </c>
      <c r="O60" s="283">
        <v>0.05</v>
      </c>
      <c r="P60" s="283">
        <v>0.02</v>
      </c>
      <c r="Q60" s="283">
        <v>0.018</v>
      </c>
      <c r="R60" s="283">
        <v>0.015</v>
      </c>
      <c r="S60" s="283">
        <v>0.005</v>
      </c>
      <c r="T60" s="283">
        <v>0</v>
      </c>
      <c r="U60" s="286">
        <v>-0.0015</v>
      </c>
    </row>
    <row r="61" ht="21.75" customHeight="1">
      <c r="C61" s="51"/>
    </row>
    <row r="62" spans="3:9" ht="20.25">
      <c r="C62" s="51" t="s">
        <v>99</v>
      </c>
      <c r="D62" s="150" t="s">
        <v>11</v>
      </c>
      <c r="E62" s="150"/>
      <c r="F62" s="150"/>
      <c r="G62" s="150"/>
      <c r="H62" s="153">
        <f>_xlfn.IFERROR(H46*I63+H53*I64,"")</f>
      </c>
      <c r="I62" s="2" t="s">
        <v>165</v>
      </c>
    </row>
    <row r="63" spans="3:10" ht="20.25">
      <c r="C63" s="51"/>
      <c r="D63" s="199" t="s">
        <v>10</v>
      </c>
      <c r="E63" s="200"/>
      <c r="F63" s="200"/>
      <c r="G63" s="201"/>
      <c r="H63" s="57">
        <f>_xlfn.IFERROR(IF((H50-H30)&lt;0,0,H50-H30),"")</f>
      </c>
      <c r="I63" s="287">
        <f>_xlfn.IFERROR(H63/SUM($H$63:$H$64),"")</f>
      </c>
      <c r="J63" s="1" t="s">
        <v>142</v>
      </c>
    </row>
    <row r="64" spans="3:10" ht="20.25">
      <c r="C64" s="51"/>
      <c r="D64" s="199" t="s">
        <v>92</v>
      </c>
      <c r="E64" s="200"/>
      <c r="F64" s="200"/>
      <c r="G64" s="201"/>
      <c r="H64" s="57">
        <f>H21</f>
      </c>
      <c r="I64" s="287">
        <f>_xlfn.IFERROR(H64/SUM($H$63:$H$64),"")</f>
      </c>
      <c r="J64" s="1" t="s">
        <v>93</v>
      </c>
    </row>
    <row r="65" ht="17.25">
      <c r="C65" s="1"/>
    </row>
    <row r="66" ht="17.25">
      <c r="C66" s="1"/>
    </row>
    <row r="67" ht="17.25">
      <c r="C67" s="1"/>
    </row>
    <row r="68" ht="17.25">
      <c r="C68" s="1"/>
    </row>
    <row r="69" ht="17.25">
      <c r="C69" s="1"/>
    </row>
    <row r="76" spans="3:51" s="13" customFormat="1" ht="21.75">
      <c r="C76" s="51"/>
      <c r="D76" s="1"/>
      <c r="E76" s="1"/>
      <c r="F76" s="1"/>
      <c r="G76" s="1"/>
      <c r="H76" s="1"/>
      <c r="I76" s="1"/>
      <c r="J76" s="1"/>
      <c r="K76" s="1"/>
      <c r="L76" s="1"/>
      <c r="O76" s="1"/>
      <c r="S76" s="1"/>
      <c r="W76" s="1"/>
      <c r="AA76" s="1"/>
      <c r="AE76" s="1"/>
      <c r="AI76" s="1"/>
      <c r="AM76" s="1"/>
      <c r="AQ76" s="1"/>
      <c r="AU76" s="1"/>
      <c r="AY76" s="1"/>
    </row>
    <row r="77" spans="4:51" ht="21.75">
      <c r="D77" s="13"/>
      <c r="E77" s="13"/>
      <c r="F77" s="13"/>
      <c r="G77" s="13"/>
      <c r="H77" s="13"/>
      <c r="I77" s="13"/>
      <c r="J77" s="13"/>
      <c r="K77" s="13"/>
      <c r="L77" s="13"/>
      <c r="O77" s="13"/>
      <c r="S77" s="13"/>
      <c r="W77" s="13"/>
      <c r="AA77" s="13"/>
      <c r="AE77" s="13"/>
      <c r="AI77" s="13"/>
      <c r="AM77" s="13"/>
      <c r="AQ77" s="13"/>
      <c r="AU77" s="13"/>
      <c r="AY77" s="13"/>
    </row>
    <row r="92" ht="28.5" customHeight="1"/>
  </sheetData>
  <sheetProtection/>
  <mergeCells count="201">
    <mergeCell ref="AV26:AY26"/>
    <mergeCell ref="AV28:AY28"/>
    <mergeCell ref="AV29:AY29"/>
    <mergeCell ref="AV30:AY30"/>
    <mergeCell ref="AV31:AY31"/>
    <mergeCell ref="AV32:AY32"/>
    <mergeCell ref="AR32:AU32"/>
    <mergeCell ref="AV7:AY7"/>
    <mergeCell ref="AV10:AY10"/>
    <mergeCell ref="AV19:AY19"/>
    <mergeCell ref="AV20:AY20"/>
    <mergeCell ref="AV21:AY21"/>
    <mergeCell ref="AR25:AU25"/>
    <mergeCell ref="AR26:AU26"/>
    <mergeCell ref="AV22:AY22"/>
    <mergeCell ref="AV23:AY23"/>
    <mergeCell ref="AR28:AU28"/>
    <mergeCell ref="AR29:AU29"/>
    <mergeCell ref="AR30:AU30"/>
    <mergeCell ref="AR31:AU31"/>
    <mergeCell ref="AR23:AU23"/>
    <mergeCell ref="AR24:AU24"/>
    <mergeCell ref="AV24:AY24"/>
    <mergeCell ref="AV25:AY25"/>
    <mergeCell ref="AN31:AQ31"/>
    <mergeCell ref="AJ30:AM30"/>
    <mergeCell ref="AN32:AQ32"/>
    <mergeCell ref="AR7:AU7"/>
    <mergeCell ref="AR10:AU10"/>
    <mergeCell ref="AR19:AU19"/>
    <mergeCell ref="AR20:AU20"/>
    <mergeCell ref="AR21:AU21"/>
    <mergeCell ref="AR22:AU22"/>
    <mergeCell ref="AF28:AI28"/>
    <mergeCell ref="AF29:AI29"/>
    <mergeCell ref="AJ31:AM31"/>
    <mergeCell ref="AN23:AQ23"/>
    <mergeCell ref="AJ22:AM22"/>
    <mergeCell ref="AJ23:AM23"/>
    <mergeCell ref="AN25:AQ25"/>
    <mergeCell ref="AN26:AQ26"/>
    <mergeCell ref="AN28:AQ28"/>
    <mergeCell ref="AN30:AQ30"/>
    <mergeCell ref="AJ32:AM32"/>
    <mergeCell ref="AN7:AQ7"/>
    <mergeCell ref="AN10:AQ10"/>
    <mergeCell ref="AN19:AQ19"/>
    <mergeCell ref="AN20:AQ20"/>
    <mergeCell ref="AN21:AQ21"/>
    <mergeCell ref="AN22:AQ22"/>
    <mergeCell ref="AN29:AQ29"/>
    <mergeCell ref="AJ29:AM29"/>
    <mergeCell ref="AN24:AQ24"/>
    <mergeCell ref="AF32:AI32"/>
    <mergeCell ref="AJ7:AM7"/>
    <mergeCell ref="AJ10:AM10"/>
    <mergeCell ref="AJ19:AM19"/>
    <mergeCell ref="AJ20:AM20"/>
    <mergeCell ref="AJ21:AM21"/>
    <mergeCell ref="AJ24:AM24"/>
    <mergeCell ref="AJ25:AM25"/>
    <mergeCell ref="AJ26:AM26"/>
    <mergeCell ref="AJ28:AM28"/>
    <mergeCell ref="AB31:AE31"/>
    <mergeCell ref="AB32:AE32"/>
    <mergeCell ref="AF7:AI7"/>
    <mergeCell ref="AF10:AI10"/>
    <mergeCell ref="AF19:AI19"/>
    <mergeCell ref="AF20:AI20"/>
    <mergeCell ref="AF21:AI21"/>
    <mergeCell ref="AF22:AI22"/>
    <mergeCell ref="AF30:AI30"/>
    <mergeCell ref="AF31:AI31"/>
    <mergeCell ref="AB24:AE24"/>
    <mergeCell ref="AB25:AE25"/>
    <mergeCell ref="AB26:AE26"/>
    <mergeCell ref="AB28:AE28"/>
    <mergeCell ref="AB29:AE29"/>
    <mergeCell ref="AB30:AE30"/>
    <mergeCell ref="X30:AA30"/>
    <mergeCell ref="X31:AA31"/>
    <mergeCell ref="X32:AA32"/>
    <mergeCell ref="AB7:AE7"/>
    <mergeCell ref="AB10:AE10"/>
    <mergeCell ref="AB19:AE19"/>
    <mergeCell ref="AB20:AE20"/>
    <mergeCell ref="AB21:AE21"/>
    <mergeCell ref="AB22:AE22"/>
    <mergeCell ref="AB23:AE23"/>
    <mergeCell ref="T31:W31"/>
    <mergeCell ref="T32:W32"/>
    <mergeCell ref="X7:AA7"/>
    <mergeCell ref="X10:AA10"/>
    <mergeCell ref="X19:AA19"/>
    <mergeCell ref="X20:AA20"/>
    <mergeCell ref="X21:AA21"/>
    <mergeCell ref="X22:AA22"/>
    <mergeCell ref="X28:AA28"/>
    <mergeCell ref="X29:AA29"/>
    <mergeCell ref="T24:W24"/>
    <mergeCell ref="T25:W25"/>
    <mergeCell ref="T26:W26"/>
    <mergeCell ref="T28:W28"/>
    <mergeCell ref="T29:W29"/>
    <mergeCell ref="T30:W30"/>
    <mergeCell ref="T10:W10"/>
    <mergeCell ref="T19:W19"/>
    <mergeCell ref="T20:W20"/>
    <mergeCell ref="T21:W21"/>
    <mergeCell ref="T22:W22"/>
    <mergeCell ref="T23:W23"/>
    <mergeCell ref="P26:S26"/>
    <mergeCell ref="P28:S28"/>
    <mergeCell ref="P29:S29"/>
    <mergeCell ref="P30:S30"/>
    <mergeCell ref="P31:S31"/>
    <mergeCell ref="P32:S32"/>
    <mergeCell ref="H29:K29"/>
    <mergeCell ref="H30:K30"/>
    <mergeCell ref="H28:K28"/>
    <mergeCell ref="P10:S10"/>
    <mergeCell ref="P19:S19"/>
    <mergeCell ref="P20:S20"/>
    <mergeCell ref="P21:S21"/>
    <mergeCell ref="P22:S22"/>
    <mergeCell ref="P23:S23"/>
    <mergeCell ref="P25:S25"/>
    <mergeCell ref="H5:K5"/>
    <mergeCell ref="H10:K10"/>
    <mergeCell ref="H25:K25"/>
    <mergeCell ref="H22:K22"/>
    <mergeCell ref="H26:K26"/>
    <mergeCell ref="H23:K23"/>
    <mergeCell ref="H24:K24"/>
    <mergeCell ref="H20:K20"/>
    <mergeCell ref="H19:K19"/>
    <mergeCell ref="H6:K6"/>
    <mergeCell ref="AF6:AI6"/>
    <mergeCell ref="AJ6:AM6"/>
    <mergeCell ref="L5:O5"/>
    <mergeCell ref="P5:S5"/>
    <mergeCell ref="AB5:AE5"/>
    <mergeCell ref="T7:W7"/>
    <mergeCell ref="T5:W5"/>
    <mergeCell ref="X5:AA5"/>
    <mergeCell ref="P6:S6"/>
    <mergeCell ref="T6:W6"/>
    <mergeCell ref="H7:K7"/>
    <mergeCell ref="L10:O10"/>
    <mergeCell ref="L7:O7"/>
    <mergeCell ref="H21:K21"/>
    <mergeCell ref="P7:S7"/>
    <mergeCell ref="L19:O19"/>
    <mergeCell ref="L20:O20"/>
    <mergeCell ref="L21:O21"/>
    <mergeCell ref="D12:E12"/>
    <mergeCell ref="D13:E13"/>
    <mergeCell ref="D14:E14"/>
    <mergeCell ref="D15:E15"/>
    <mergeCell ref="D35:G35"/>
    <mergeCell ref="D42:G42"/>
    <mergeCell ref="P24:S24"/>
    <mergeCell ref="D56:G56"/>
    <mergeCell ref="L22:O22"/>
    <mergeCell ref="AF23:AI23"/>
    <mergeCell ref="AF24:AI24"/>
    <mergeCell ref="AF25:AI25"/>
    <mergeCell ref="AF26:AI26"/>
    <mergeCell ref="H31:K31"/>
    <mergeCell ref="D47:G47"/>
    <mergeCell ref="D48:D51"/>
    <mergeCell ref="D64:G64"/>
    <mergeCell ref="D16:E16"/>
    <mergeCell ref="X23:AA23"/>
    <mergeCell ref="L23:O23"/>
    <mergeCell ref="L25:O25"/>
    <mergeCell ref="L26:O26"/>
    <mergeCell ref="X24:AA24"/>
    <mergeCell ref="X25:AA25"/>
    <mergeCell ref="X26:AA26"/>
    <mergeCell ref="L24:O24"/>
    <mergeCell ref="B1:O1"/>
    <mergeCell ref="AF5:AI5"/>
    <mergeCell ref="AJ5:AM5"/>
    <mergeCell ref="AN5:AQ5"/>
    <mergeCell ref="AR5:AU5"/>
    <mergeCell ref="H32:K32"/>
    <mergeCell ref="L30:O30"/>
    <mergeCell ref="X6:AA6"/>
    <mergeCell ref="AB6:AE6"/>
    <mergeCell ref="L28:O28"/>
    <mergeCell ref="AV5:AY5"/>
    <mergeCell ref="L6:O6"/>
    <mergeCell ref="D55:G55"/>
    <mergeCell ref="D63:G63"/>
    <mergeCell ref="AN6:AQ6"/>
    <mergeCell ref="AR6:AU6"/>
    <mergeCell ref="AV6:AY6"/>
    <mergeCell ref="L29:O29"/>
    <mergeCell ref="L31:O31"/>
    <mergeCell ref="L32:O32"/>
  </mergeCells>
  <printOptions/>
  <pageMargins left="0.2362204724409449" right="0.2362204724409449" top="0.7480314960629921" bottom="0.7480314960629921" header="0.31496062992125984" footer="0.31496062992125984"/>
  <pageSetup fitToWidth="0" orientation="portrait" paperSize="9" scale="32" r:id="rId2"/>
  <colBreaks count="1" manualBreakCount="1">
    <brk id="27" max="60" man="1"/>
  </colBreaks>
  <ignoredErrors>
    <ignoredError sqref="H28 H17:J17 H11:J1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43"/>
  <sheetViews>
    <sheetView zoomScale="80" zoomScaleNormal="80" zoomScalePageLayoutView="0" workbookViewId="0" topLeftCell="A58">
      <selection activeCell="K67" sqref="K67"/>
    </sheetView>
  </sheetViews>
  <sheetFormatPr defaultColWidth="9.00390625" defaultRowHeight="15" outlineLevelRow="1"/>
  <cols>
    <col min="1" max="1" width="4.28125" style="24" customWidth="1"/>
    <col min="2" max="2" width="3.421875" style="84" customWidth="1"/>
    <col min="3" max="3" width="12.57421875" style="24" customWidth="1"/>
    <col min="4" max="4" width="17.00390625" style="24" customWidth="1"/>
    <col min="5" max="5" width="15.00390625" style="24" customWidth="1"/>
    <col min="6" max="16" width="12.57421875" style="24" customWidth="1"/>
    <col min="17" max="16384" width="9.00390625" style="24" customWidth="1"/>
  </cols>
  <sheetData>
    <row r="1" spans="1:2" s="134" customFormat="1" ht="21.75">
      <c r="A1" s="13" t="s">
        <v>83</v>
      </c>
      <c r="B1" s="133"/>
    </row>
    <row r="2" spans="1:11" ht="30.75" customHeight="1">
      <c r="A2" s="19"/>
      <c r="B2" s="224"/>
      <c r="C2" s="225"/>
      <c r="D2" s="225"/>
      <c r="E2" s="225"/>
      <c r="F2" s="277" t="s">
        <v>121</v>
      </c>
      <c r="G2" s="271"/>
      <c r="H2" s="278"/>
      <c r="I2" s="270" t="s">
        <v>116</v>
      </c>
      <c r="J2" s="271"/>
      <c r="K2" s="271"/>
    </row>
    <row r="3" spans="2:11" ht="30.75" customHeight="1">
      <c r="B3" s="275" t="s">
        <v>84</v>
      </c>
      <c r="C3" s="275"/>
      <c r="D3" s="276" t="s">
        <v>113</v>
      </c>
      <c r="E3" s="276"/>
      <c r="F3" s="166">
        <f>E25</f>
      </c>
      <c r="G3" s="167" t="s">
        <v>115</v>
      </c>
      <c r="H3" s="168">
        <f>G25</f>
      </c>
      <c r="I3" s="166">
        <f>E27</f>
      </c>
      <c r="J3" s="167" t="s">
        <v>115</v>
      </c>
      <c r="K3" s="168">
        <f>G27</f>
      </c>
    </row>
    <row r="4" spans="2:11" ht="30.75" customHeight="1">
      <c r="B4" s="275"/>
      <c r="C4" s="275"/>
      <c r="D4" s="276" t="s">
        <v>114</v>
      </c>
      <c r="E4" s="276"/>
      <c r="F4" s="166">
        <f>_xlfn.IFERROR(K25,"")</f>
      </c>
      <c r="G4" s="167" t="s">
        <v>115</v>
      </c>
      <c r="H4" s="168">
        <f>_xlfn.IFERROR(M25,"")</f>
      </c>
      <c r="I4" s="166">
        <f>_xlfn.IFERROR(K27,"")</f>
      </c>
      <c r="J4" s="167" t="s">
        <v>115</v>
      </c>
      <c r="K4" s="168">
        <f>_xlfn.IFERROR(M27,"")</f>
      </c>
    </row>
    <row r="5" spans="2:11" ht="30.75" customHeight="1">
      <c r="B5" s="272" t="s">
        <v>85</v>
      </c>
      <c r="C5" s="273"/>
      <c r="D5" s="273"/>
      <c r="E5" s="274"/>
      <c r="F5" s="166">
        <f>G80</f>
      </c>
      <c r="G5" s="167" t="s">
        <v>147</v>
      </c>
      <c r="H5" s="168">
        <f>E80</f>
      </c>
      <c r="I5" s="166">
        <f>G81</f>
      </c>
      <c r="J5" s="167" t="s">
        <v>115</v>
      </c>
      <c r="K5" s="168">
        <f>E81</f>
      </c>
    </row>
    <row r="6" spans="2:13" ht="17.25">
      <c r="B6" s="84" t="s">
        <v>122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</row>
    <row r="7" spans="3:13" ht="17.25"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</row>
    <row r="8" spans="1:2" s="134" customFormat="1" ht="21.75">
      <c r="A8" s="13" t="s">
        <v>86</v>
      </c>
      <c r="B8" s="133"/>
    </row>
    <row r="9" spans="1:2" s="134" customFormat="1" ht="21.75">
      <c r="A9" s="13"/>
      <c r="B9" s="13" t="s">
        <v>87</v>
      </c>
    </row>
    <row r="10" spans="3:31" ht="17.25">
      <c r="C10" s="1"/>
      <c r="D10" s="1"/>
      <c r="E10" s="266" t="s">
        <v>35</v>
      </c>
      <c r="F10" s="267"/>
      <c r="G10" s="267"/>
      <c r="H10" s="267" t="s">
        <v>41</v>
      </c>
      <c r="I10" s="267"/>
      <c r="J10" s="267"/>
      <c r="K10" s="267" t="s">
        <v>39</v>
      </c>
      <c r="L10" s="267"/>
      <c r="M10" s="267"/>
      <c r="N10" s="27" t="s">
        <v>40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2:31" ht="17.25">
      <c r="B11" s="1"/>
      <c r="C11" s="1"/>
      <c r="D11" s="1"/>
      <c r="E11" s="28" t="s">
        <v>38</v>
      </c>
      <c r="F11" s="29" t="s">
        <v>36</v>
      </c>
      <c r="G11" s="29" t="s">
        <v>37</v>
      </c>
      <c r="H11" s="29" t="s">
        <v>38</v>
      </c>
      <c r="I11" s="29" t="s">
        <v>36</v>
      </c>
      <c r="J11" s="29" t="s">
        <v>37</v>
      </c>
      <c r="K11" s="29" t="s">
        <v>38</v>
      </c>
      <c r="L11" s="29" t="s">
        <v>36</v>
      </c>
      <c r="M11" s="29" t="s">
        <v>37</v>
      </c>
      <c r="N11" s="30" t="s">
        <v>38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2:31" ht="17.25">
      <c r="B12" s="1"/>
      <c r="C12" s="259">
        <f>IF(Inputシート!$H$7="","",Inputシート!$H$7)</f>
      </c>
      <c r="D12" s="260"/>
      <c r="E12" s="111">
        <f>Inputシート!J14</f>
      </c>
      <c r="F12" s="111">
        <f>Inputシート!J15</f>
      </c>
      <c r="G12" s="111">
        <f>Inputシート!J16</f>
      </c>
      <c r="H12" s="112">
        <f>IF(Inputシート!I14="","",Inputシート!I14)</f>
      </c>
      <c r="I12" s="112">
        <f>IF(Inputシート!I15="","",Inputシート!I15)</f>
      </c>
      <c r="J12" s="112">
        <f>IF(Inputシート!I16="","",Inputシート!I16)</f>
      </c>
      <c r="K12" s="111">
        <f>IF(Inputシート!K14="","",Inputシート!K14)</f>
      </c>
      <c r="L12" s="111">
        <f>IF(Inputシート!K15="","",Inputシート!K15)</f>
      </c>
      <c r="M12" s="111">
        <f>IF(Inputシート!K16="","",Inputシート!K16)</f>
      </c>
      <c r="N12" s="112">
        <f>IF(Inputシート!H25="","",Inputシート!H25)</f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2:31" ht="30.75">
      <c r="B13" s="1"/>
      <c r="C13" s="1"/>
      <c r="D13" s="1"/>
      <c r="E13" s="268" t="s">
        <v>74</v>
      </c>
      <c r="F13" s="268"/>
      <c r="G13" s="268"/>
      <c r="H13" s="268" t="s">
        <v>74</v>
      </c>
      <c r="I13" s="268"/>
      <c r="J13" s="268"/>
      <c r="K13" s="268" t="s">
        <v>74</v>
      </c>
      <c r="L13" s="268"/>
      <c r="M13" s="268"/>
      <c r="N13" s="113" t="s">
        <v>74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2:31" ht="21.75">
      <c r="B14" s="1"/>
      <c r="C14" s="259" t="s">
        <v>75</v>
      </c>
      <c r="D14" s="260"/>
      <c r="E14" s="183">
        <f>F60</f>
      </c>
      <c r="F14" s="184" t="s">
        <v>50</v>
      </c>
      <c r="G14" s="185">
        <f>H60</f>
      </c>
      <c r="H14" s="186">
        <f>I60</f>
      </c>
      <c r="I14" s="187" t="s">
        <v>50</v>
      </c>
      <c r="J14" s="185">
        <f>K60</f>
      </c>
      <c r="K14" s="187">
        <f>L60</f>
      </c>
      <c r="L14" s="187" t="s">
        <v>50</v>
      </c>
      <c r="M14" s="187">
        <f>N60</f>
      </c>
      <c r="N14" s="188">
        <f>O60</f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2:31" ht="30.75">
      <c r="B15" s="1"/>
      <c r="C15" s="1"/>
      <c r="D15" s="1"/>
      <c r="E15" s="268"/>
      <c r="F15" s="268"/>
      <c r="G15" s="268"/>
      <c r="H15" s="268"/>
      <c r="I15" s="268"/>
      <c r="J15" s="268"/>
      <c r="K15" s="268"/>
      <c r="L15" s="268"/>
      <c r="M15" s="268"/>
      <c r="N15" s="11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2:31" ht="17.25">
      <c r="B16" s="1"/>
      <c r="C16" s="1"/>
      <c r="D16" s="1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2:31" s="101" customFormat="1" ht="18.75">
      <c r="B17" s="69"/>
      <c r="C17" s="32" t="s">
        <v>42</v>
      </c>
      <c r="D17" s="33"/>
      <c r="E17" s="115">
        <f>IF(E12="","",MIN(E12:G12)*E14)</f>
      </c>
      <c r="F17" s="116" t="s">
        <v>50</v>
      </c>
      <c r="G17" s="117">
        <f>IF(E12="","",MAX(E12:G12)*G14)</f>
      </c>
      <c r="H17" s="115">
        <f>IF(H12="","",MIN(H12:J12)*H14)</f>
      </c>
      <c r="I17" s="116" t="s">
        <v>50</v>
      </c>
      <c r="J17" s="117">
        <f>IF(H12="","",MAX(H12:J12)*J14)</f>
      </c>
      <c r="K17" s="118"/>
      <c r="L17" s="118"/>
      <c r="M17" s="118"/>
      <c r="N17" s="118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</row>
    <row r="18" spans="2:31" ht="17.25">
      <c r="B18" s="1"/>
      <c r="C18" s="1"/>
      <c r="D18" s="1"/>
      <c r="E18" s="119"/>
      <c r="F18" s="119"/>
      <c r="G18" s="114"/>
      <c r="H18" s="114"/>
      <c r="I18" s="114"/>
      <c r="J18" s="114"/>
      <c r="K18" s="114"/>
      <c r="L18" s="114"/>
      <c r="M18" s="114"/>
      <c r="N18" s="11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2:31" ht="17.25">
      <c r="B19" s="1"/>
      <c r="C19" s="34" t="str">
        <f>"-）有利子負債"</f>
        <v>-）有利子負債</v>
      </c>
      <c r="D19" s="35"/>
      <c r="E19" s="265">
        <f>IF(Inputシート!H22="","",Inputシート!H22)</f>
      </c>
      <c r="F19" s="265"/>
      <c r="G19" s="265"/>
      <c r="H19" s="265"/>
      <c r="I19" s="265"/>
      <c r="J19" s="265"/>
      <c r="K19" s="114"/>
      <c r="L19" s="114"/>
      <c r="M19" s="114"/>
      <c r="N19" s="114"/>
      <c r="O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2:31" ht="17.25">
      <c r="B20" s="1"/>
      <c r="C20" s="36" t="str">
        <f>"+）現金同等物"</f>
        <v>+）現金同等物</v>
      </c>
      <c r="D20" s="37"/>
      <c r="E20" s="265">
        <f>IF(Inputシート!H30="","",SUM(Inputシート!H30:H32))</f>
      </c>
      <c r="F20" s="265"/>
      <c r="G20" s="265"/>
      <c r="H20" s="265"/>
      <c r="I20" s="265"/>
      <c r="J20" s="265"/>
      <c r="K20" s="114"/>
      <c r="L20" s="114"/>
      <c r="M20" s="114"/>
      <c r="N20" s="114"/>
      <c r="O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2:31" ht="17.25">
      <c r="B21" s="1"/>
      <c r="C21" s="106" t="str">
        <f>"-）少数株主持分"</f>
        <v>-）少数株主持分</v>
      </c>
      <c r="D21" s="106"/>
      <c r="E21" s="265">
        <f>Inputシート!H26</f>
        <v>0</v>
      </c>
      <c r="F21" s="265"/>
      <c r="G21" s="265"/>
      <c r="H21" s="265"/>
      <c r="I21" s="265"/>
      <c r="J21" s="265"/>
      <c r="K21" s="114"/>
      <c r="L21" s="114"/>
      <c r="M21" s="114"/>
      <c r="N21" s="114"/>
      <c r="O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2:31" ht="17.25">
      <c r="B22" s="1"/>
      <c r="C22" s="107" t="str">
        <f>"+）有価証券（売却可能）"</f>
        <v>+）有価証券（売却可能）</v>
      </c>
      <c r="D22" s="108"/>
      <c r="E22" s="265">
        <f>Inputシート!H31</f>
        <v>0</v>
      </c>
      <c r="F22" s="265"/>
      <c r="G22" s="265"/>
      <c r="H22" s="265"/>
      <c r="I22" s="265"/>
      <c r="J22" s="265"/>
      <c r="K22" s="114"/>
      <c r="L22" s="114"/>
      <c r="M22" s="114"/>
      <c r="N22" s="114"/>
      <c r="O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2:31" ht="17.25">
      <c r="B23" s="1"/>
      <c r="C23" s="109" t="str">
        <f>"+）投資有価証券（売却可能）"</f>
        <v>+）投資有価証券（売却可能）</v>
      </c>
      <c r="D23" s="110"/>
      <c r="E23" s="265">
        <f>Inputシート!H32</f>
        <v>0</v>
      </c>
      <c r="F23" s="265"/>
      <c r="G23" s="265"/>
      <c r="H23" s="265"/>
      <c r="I23" s="265"/>
      <c r="J23" s="265"/>
      <c r="K23" s="114"/>
      <c r="L23" s="114"/>
      <c r="M23" s="114"/>
      <c r="N23" s="114"/>
      <c r="O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2:31" ht="17.25">
      <c r="B24" s="1"/>
      <c r="C24" s="1"/>
      <c r="D24" s="1"/>
      <c r="E24" s="119"/>
      <c r="F24" s="119"/>
      <c r="G24" s="114"/>
      <c r="H24" s="114"/>
      <c r="I24" s="114"/>
      <c r="J24" s="114"/>
      <c r="K24" s="114"/>
      <c r="L24" s="114"/>
      <c r="M24" s="114"/>
      <c r="N24" s="114"/>
      <c r="O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2:31" s="76" customFormat="1" ht="26.25" customHeight="1">
      <c r="B25" s="41"/>
      <c r="C25" s="75" t="s">
        <v>43</v>
      </c>
      <c r="D25" s="75"/>
      <c r="E25" s="120">
        <f>_xlfn.IFERROR(E17-$E$19+$E$20-$E$21+SUM($E$22:$J$23),"")</f>
      </c>
      <c r="F25" s="121" t="s">
        <v>50</v>
      </c>
      <c r="G25" s="129">
        <f>_xlfn.IFERROR(G17-$E$19+$E$20-$E$21+SUM($E$22:$J$23),"")</f>
      </c>
      <c r="H25" s="120">
        <f>_xlfn.IFERROR(H17-$E$19+$E$20-$E$21+SUM($E$22:$J$23),"")</f>
      </c>
      <c r="I25" s="123" t="s">
        <v>50</v>
      </c>
      <c r="J25" s="129">
        <f>_xlfn.IFERROR(J17-$E$19+$E$20-$E$21+SUM($E$22:$J$23),"")</f>
      </c>
      <c r="K25" s="124">
        <f>_xlfn.IFERROR(MIN($K$12:$M$12)*K14,"")</f>
      </c>
      <c r="L25" s="123" t="s">
        <v>50</v>
      </c>
      <c r="M25" s="125">
        <f>_xlfn.IFERROR(MAX(K12:$M$12)*M14,"")</f>
      </c>
      <c r="N25" s="126">
        <f>_xlfn.IFERROR(N12*N14,"")</f>
      </c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2:31" s="76" customFormat="1" ht="20.25">
      <c r="B26" s="41"/>
      <c r="C26" s="41"/>
      <c r="D26" s="41"/>
      <c r="E26" s="127"/>
      <c r="F26" s="127"/>
      <c r="G26" s="128"/>
      <c r="H26" s="128"/>
      <c r="I26" s="128"/>
      <c r="J26" s="128"/>
      <c r="K26" s="128"/>
      <c r="L26" s="128"/>
      <c r="M26" s="128"/>
      <c r="N26" s="128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2:31" s="76" customFormat="1" ht="26.25" customHeight="1">
      <c r="B27" s="41"/>
      <c r="C27" s="77" t="s">
        <v>76</v>
      </c>
      <c r="D27" s="78"/>
      <c r="E27" s="120">
        <f>_xlfn.IFERROR(E25*10^6/Inputシート!$H$20,"")</f>
      </c>
      <c r="F27" s="121" t="s">
        <v>50</v>
      </c>
      <c r="G27" s="129">
        <f>_xlfn.IFERROR(G25*10^6/Inputシート!$H$20,"")</f>
      </c>
      <c r="H27" s="120">
        <f>_xlfn.IFERROR(H25*10^6/Inputシート!$H$20,"")</f>
      </c>
      <c r="I27" s="123" t="s">
        <v>50</v>
      </c>
      <c r="J27" s="129">
        <f>_xlfn.IFERROR(J25*10^6/Inputシート!$H$20,"")</f>
      </c>
      <c r="K27" s="120">
        <f>_xlfn.IFERROR(K25*10^6/Inputシート!$H$20,"")</f>
      </c>
      <c r="L27" s="123" t="s">
        <v>50</v>
      </c>
      <c r="M27" s="122">
        <f>_xlfn.IFERROR(M25*10^6/Inputシート!$H$20,"")</f>
      </c>
      <c r="N27" s="120">
        <f>_xlfn.IFERROR(N25*10^6/Inputシート!$H$20,"")</f>
      </c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2:31" ht="17.25">
      <c r="B28" s="1"/>
      <c r="C28" s="1"/>
      <c r="D28" s="1"/>
      <c r="E28" s="2"/>
      <c r="F28" s="2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="133" customFormat="1" ht="21.75">
      <c r="B29" s="135" t="s">
        <v>88</v>
      </c>
    </row>
    <row r="32" spans="3:31" ht="17.25">
      <c r="C32" s="1"/>
      <c r="D32" s="1"/>
      <c r="E32" s="2"/>
      <c r="F32" s="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2:31" ht="18.75">
      <c r="B33" s="19"/>
      <c r="C33" s="1"/>
      <c r="D33" s="1"/>
      <c r="E33" s="2"/>
      <c r="F33" s="2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2:31" ht="18.75">
      <c r="B34" s="19"/>
      <c r="C34" s="1"/>
      <c r="D34" s="1"/>
      <c r="E34" s="2"/>
      <c r="F34" s="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2:31" ht="18.75">
      <c r="B35" s="19"/>
      <c r="C35" s="1"/>
      <c r="D35" s="1"/>
      <c r="E35" s="2"/>
      <c r="F35" s="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2:31" ht="18.75">
      <c r="B36" s="19"/>
      <c r="C36" s="1"/>
      <c r="D36" s="1"/>
      <c r="E36" s="2"/>
      <c r="F36" s="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2:31" ht="18.75">
      <c r="B37" s="19"/>
      <c r="C37" s="1"/>
      <c r="D37" s="1"/>
      <c r="E37" s="2"/>
      <c r="F37" s="2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2:31" ht="18.75">
      <c r="B38" s="19"/>
      <c r="C38" s="1"/>
      <c r="D38" s="1"/>
      <c r="E38" s="2"/>
      <c r="F38" s="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2:31" ht="18.75">
      <c r="B39" s="19"/>
      <c r="C39" s="1"/>
      <c r="D39" s="1"/>
      <c r="E39" s="2"/>
      <c r="F39" s="2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2:31" ht="18.75">
      <c r="B40" s="19"/>
      <c r="C40" s="1"/>
      <c r="D40" s="1"/>
      <c r="E40" s="2"/>
      <c r="F40" s="2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2:31" ht="18.75">
      <c r="B41" s="19"/>
      <c r="C41" s="1"/>
      <c r="D41" s="1"/>
      <c r="E41" s="2"/>
      <c r="F41" s="2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21.75">
      <c r="A42" s="190"/>
      <c r="B42" s="19"/>
      <c r="C42" s="190" t="s">
        <v>141</v>
      </c>
      <c r="D42" s="1"/>
      <c r="E42" s="2"/>
      <c r="F42" s="2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2:32" ht="17.25">
      <c r="B43" s="24"/>
      <c r="D43" s="1"/>
      <c r="E43" s="1"/>
      <c r="F43" s="258" t="s">
        <v>32</v>
      </c>
      <c r="G43" s="257"/>
      <c r="H43" s="257"/>
      <c r="I43" s="257" t="s">
        <v>44</v>
      </c>
      <c r="J43" s="257"/>
      <c r="K43" s="257"/>
      <c r="L43" s="257" t="s">
        <v>123</v>
      </c>
      <c r="M43" s="257"/>
      <c r="N43" s="257"/>
      <c r="O43" s="102" t="s">
        <v>33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2:32" ht="17.25">
      <c r="B44" s="1"/>
      <c r="C44" s="171"/>
      <c r="D44" s="171"/>
      <c r="E44" s="172"/>
      <c r="F44" s="103" t="s">
        <v>38</v>
      </c>
      <c r="G44" s="104" t="s">
        <v>36</v>
      </c>
      <c r="H44" s="104" t="s">
        <v>37</v>
      </c>
      <c r="I44" s="104" t="s">
        <v>38</v>
      </c>
      <c r="J44" s="104" t="s">
        <v>36</v>
      </c>
      <c r="K44" s="104" t="s">
        <v>37</v>
      </c>
      <c r="L44" s="104" t="s">
        <v>38</v>
      </c>
      <c r="M44" s="104" t="s">
        <v>36</v>
      </c>
      <c r="N44" s="104" t="s">
        <v>37</v>
      </c>
      <c r="O44" s="105" t="s">
        <v>38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2:32" s="76" customFormat="1" ht="20.25">
      <c r="B45" s="41"/>
      <c r="C45" s="170" t="str">
        <f>Inputシート!H5</f>
        <v>Target会社</v>
      </c>
      <c r="D45" s="263">
        <f>IF(Inputシート!H7="","",Inputシート!H7)</f>
      </c>
      <c r="E45" s="264"/>
      <c r="F45" s="100">
        <f>_xlfn.IFERROR(Inputシート!$H$23/Inputシート!J14,"")</f>
      </c>
      <c r="G45" s="100">
        <f>_xlfn.IFERROR(Inputシート!$H$23/Inputシート!J15,"")</f>
      </c>
      <c r="H45" s="100">
        <f>_xlfn.IFERROR(Inputシート!$H$23/Inputシート!J16,"")</f>
      </c>
      <c r="I45" s="100">
        <f>_xlfn.IFERROR(Inputシート!$H$23/Inputシート!I14,"")</f>
      </c>
      <c r="J45" s="100">
        <f>_xlfn.IFERROR(Inputシート!$H$23/Inputシート!I15,"")</f>
      </c>
      <c r="K45" s="100">
        <f>_xlfn.IFERROR(Inputシート!$H$23/Inputシート!I16,"")</f>
      </c>
      <c r="L45" s="100">
        <f>_xlfn.IFERROR(Inputシート!$H$21/Inputシート!K14,"")</f>
      </c>
      <c r="M45" s="100">
        <f>_xlfn.IFERROR(Inputシート!$H$21/Inputシート!K15,"")</f>
      </c>
      <c r="N45" s="100">
        <f>_xlfn.IFERROR(Inputシート!$H$21/Inputシート!K16,"")</f>
      </c>
      <c r="O45" s="100">
        <f>_xlfn.IFERROR(Inputシート!$H$21/Inputシート!H25,"")</f>
      </c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</row>
    <row r="46" spans="2:32" ht="17.25">
      <c r="B46" s="1"/>
      <c r="C46" s="96" t="str">
        <f>Inputシート!L5</f>
        <v>類似①社</v>
      </c>
      <c r="D46" s="261">
        <f>IF(Inputシート!L10="","",Inputシート!L10)</f>
      </c>
      <c r="E46" s="262"/>
      <c r="F46" s="26">
        <f>_xlfn.IFERROR(Inputシート!$L$23/Inputシート!N14,"")</f>
      </c>
      <c r="G46" s="26">
        <f>_xlfn.IFERROR(Inputシート!$L$23/Inputシート!N15,"")</f>
      </c>
      <c r="H46" s="26">
        <f>_xlfn.IFERROR(Inputシート!$L$23/Inputシート!N16,"")</f>
      </c>
      <c r="I46" s="26">
        <f>_xlfn.IFERROR(Inputシート!$L$23/Inputシート!M14,"")</f>
      </c>
      <c r="J46" s="26">
        <f>_xlfn.IFERROR(Inputシート!$L$23/Inputシート!M15,"")</f>
      </c>
      <c r="K46" s="26">
        <f>_xlfn.IFERROR(Inputシート!$L$23/Inputシート!M16,"")</f>
      </c>
      <c r="L46" s="165">
        <f>_xlfn.IFERROR(Inputシート!$L$21/Inputシート!O14,"")</f>
      </c>
      <c r="M46" s="165">
        <f>_xlfn.IFERROR(Inputシート!$L$21/Inputシート!O15,"")</f>
      </c>
      <c r="N46" s="165">
        <f>_xlfn.IFERROR(Inputシート!$L$21/Inputシート!O16,"")</f>
      </c>
      <c r="O46" s="26">
        <f>_xlfn.IFERROR(Inputシート!$L$21/Inputシート!L25,"")</f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2:32" ht="17.25">
      <c r="B47" s="1"/>
      <c r="C47" s="96" t="str">
        <f>Inputシート!P5</f>
        <v>類似②社</v>
      </c>
      <c r="D47" s="261">
        <f>Inputシート!P10</f>
      </c>
      <c r="E47" s="262"/>
      <c r="F47" s="26">
        <f>_xlfn.IFERROR(Inputシート!$P$23/Inputシート!R14,"")</f>
      </c>
      <c r="G47" s="26">
        <f>_xlfn.IFERROR(Inputシート!$P$23/Inputシート!R15,"")</f>
      </c>
      <c r="H47" s="26">
        <f>_xlfn.IFERROR(Inputシート!$P$23/Inputシート!R16,"")</f>
      </c>
      <c r="I47" s="26">
        <f>_xlfn.IFERROR(Inputシート!$P$23/Inputシート!Q14,"")</f>
      </c>
      <c r="J47" s="26">
        <f>_xlfn.IFERROR(Inputシート!$P$23/Inputシート!Q15,"")</f>
      </c>
      <c r="K47" s="26">
        <f>_xlfn.IFERROR(Inputシート!$P$23/Inputシート!Q16,"")</f>
      </c>
      <c r="L47" s="165">
        <f>_xlfn.IFERROR(Inputシート!$P$21/Inputシート!S14,"")</f>
      </c>
      <c r="M47" s="165">
        <f>_xlfn.IFERROR(Inputシート!$P$21/Inputシート!S15,"")</f>
      </c>
      <c r="N47" s="165">
        <f>_xlfn.IFERROR(Inputシート!$P$21/Inputシート!S16,"")</f>
      </c>
      <c r="O47" s="26">
        <f>_xlfn.IFERROR(Inputシート!P21/Inputシート!P25,"")</f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2:32" ht="17.25">
      <c r="B48" s="1"/>
      <c r="C48" s="96" t="str">
        <f>Inputシート!T5</f>
        <v>類似③社</v>
      </c>
      <c r="D48" s="261">
        <f>Inputシート!T10</f>
      </c>
      <c r="E48" s="262"/>
      <c r="F48" s="26">
        <f>_xlfn.IFERROR(Inputシート!$T$23/Inputシート!V14,"")</f>
      </c>
      <c r="G48" s="26">
        <f>_xlfn.IFERROR(Inputシート!$T$23/Inputシート!V15,"")</f>
      </c>
      <c r="H48" s="26">
        <f>_xlfn.IFERROR(Inputシート!$T$23/Inputシート!V16,"")</f>
      </c>
      <c r="I48" s="26">
        <f>_xlfn.IFERROR(Inputシート!$T$23/Inputシート!U14,"")</f>
      </c>
      <c r="J48" s="26">
        <f>_xlfn.IFERROR(Inputシート!$T$23/Inputシート!U15,"")</f>
      </c>
      <c r="K48" s="26">
        <f>_xlfn.IFERROR(Inputシート!$T$23/Inputシート!U16,"")</f>
      </c>
      <c r="L48" s="165">
        <f>_xlfn.IFERROR(Inputシート!$T$21/Inputシート!W14,"")</f>
      </c>
      <c r="M48" s="165">
        <f>_xlfn.IFERROR(Inputシート!$T$21/Inputシート!W15,"")</f>
      </c>
      <c r="N48" s="165">
        <f>_xlfn.IFERROR(Inputシート!$T$21/Inputシート!W16,"")</f>
      </c>
      <c r="O48" s="26">
        <f>_xlfn.IFERROR(Inputシート!T21/Inputシート!T25,"")</f>
      </c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2:32" ht="17.25">
      <c r="B49" s="1"/>
      <c r="C49" s="96" t="str">
        <f>Inputシート!X5</f>
        <v>類似④社</v>
      </c>
      <c r="D49" s="261">
        <f>Inputシート!X10</f>
      </c>
      <c r="E49" s="262"/>
      <c r="F49" s="26">
        <f>_xlfn.IFERROR(Inputシート!$X$23/Inputシート!Z14,"")</f>
      </c>
      <c r="G49" s="26">
        <f>_xlfn.IFERROR(Inputシート!$X$23/Inputシート!Z15,"")</f>
      </c>
      <c r="H49" s="26">
        <f>_xlfn.IFERROR(Inputシート!$X$23/Inputシート!Z16,"")</f>
      </c>
      <c r="I49" s="26">
        <f>_xlfn.IFERROR(Inputシート!$X$23/Inputシート!Y14,"")</f>
      </c>
      <c r="J49" s="26">
        <f>_xlfn.IFERROR(Inputシート!$X$23/Inputシート!Y15,"")</f>
      </c>
      <c r="K49" s="26">
        <f>_xlfn.IFERROR(Inputシート!$X$23/Inputシート!Y16,"")</f>
      </c>
      <c r="L49" s="165">
        <f>_xlfn.IFERROR(Inputシート!$X$21/Inputシート!AA14,"")</f>
      </c>
      <c r="M49" s="165">
        <f>_xlfn.IFERROR(Inputシート!$X$21/Inputシート!AA15,"")</f>
      </c>
      <c r="N49" s="165">
        <f>_xlfn.IFERROR(Inputシート!$X$21/Inputシート!AA16,"")</f>
      </c>
      <c r="O49" s="26">
        <f>_xlfn.IFERROR(Inputシート!X21/Inputシート!X25,"")</f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2:32" ht="17.25">
      <c r="B50" s="1"/>
      <c r="C50" s="96" t="str">
        <f>Inputシート!AB5</f>
        <v>類似⑤社</v>
      </c>
      <c r="D50" s="261">
        <f>Inputシート!AB10</f>
      </c>
      <c r="E50" s="262"/>
      <c r="F50" s="26">
        <f>_xlfn.IFERROR(Inputシート!AB23/Inputシート!AD14,"")</f>
      </c>
      <c r="G50" s="26">
        <f>_xlfn.IFERROR(Inputシート!$AB$23/Inputシート!AD15,"")</f>
      </c>
      <c r="H50" s="26">
        <f>_xlfn.IFERROR(Inputシート!$AB$23/Inputシート!AD16,"")</f>
      </c>
      <c r="I50" s="26">
        <f>_xlfn.IFERROR(Inputシート!$AB$23/Inputシート!AC14,"")</f>
      </c>
      <c r="J50" s="26">
        <f>_xlfn.IFERROR(Inputシート!$AB$23/Inputシート!AC15,"")</f>
      </c>
      <c r="K50" s="26">
        <f>_xlfn.IFERROR(Inputシート!$AB$23/Inputシート!AC16,"")</f>
      </c>
      <c r="L50" s="165">
        <f>_xlfn.IFERROR(Inputシート!$AB$21/Inputシート!AE14,"")</f>
      </c>
      <c r="M50" s="165">
        <f>_xlfn.IFERROR(Inputシート!$AB$21/Inputシート!AE15,"")</f>
      </c>
      <c r="N50" s="165">
        <f>_xlfn.IFERROR(Inputシート!$AB$21/Inputシート!AE16,"")</f>
      </c>
      <c r="O50" s="26">
        <f>_xlfn.IFERROR(Inputシート!AB21/Inputシート!AB25,"")</f>
      </c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2:32" ht="17.25">
      <c r="B51" s="1"/>
      <c r="C51" s="96" t="str">
        <f>Inputシート!AF5</f>
        <v>類似⑥社</v>
      </c>
      <c r="D51" s="261">
        <f>Inputシート!AF10</f>
      </c>
      <c r="E51" s="262"/>
      <c r="F51" s="26">
        <f>_xlfn.IFERROR(Inputシート!$AF$23/Inputシート!AH14,"")</f>
      </c>
      <c r="G51" s="26">
        <f>_xlfn.IFERROR(Inputシート!$AF$23/Inputシート!AH15,"")</f>
      </c>
      <c r="H51" s="26">
        <f>_xlfn.IFERROR(Inputシート!$AF$23/Inputシート!AH16,"")</f>
      </c>
      <c r="I51" s="26">
        <f>_xlfn.IFERROR(Inputシート!$AF$23/Inputシート!AG14,"")</f>
      </c>
      <c r="J51" s="26">
        <f>_xlfn.IFERROR(Inputシート!$AF$23/Inputシート!AG15,"")</f>
      </c>
      <c r="K51" s="26">
        <f>_xlfn.IFERROR(Inputシート!$AF$23/Inputシート!AG16,"")</f>
      </c>
      <c r="L51" s="165">
        <f>_xlfn.IFERROR(Inputシート!$AF$21/Inputシート!AI14,"")</f>
      </c>
      <c r="M51" s="165">
        <f>_xlfn.IFERROR(Inputシート!$AF$21/Inputシート!AI15,"")</f>
      </c>
      <c r="N51" s="165">
        <f>_xlfn.IFERROR(Inputシート!$AF$21/Inputシート!AI16,"")</f>
      </c>
      <c r="O51" s="26">
        <f>_xlfn.IFERROR(Inputシート!AF21/Inputシート!AF25,"")</f>
      </c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2:32" ht="17.25">
      <c r="B52" s="1"/>
      <c r="C52" s="96" t="str">
        <f>Inputシート!AJ5</f>
        <v>類似⑦社</v>
      </c>
      <c r="D52" s="261">
        <f>Inputシート!AJ10</f>
      </c>
      <c r="E52" s="262"/>
      <c r="F52" s="26">
        <f>_xlfn.IFERROR(Inputシート!$AJ$23/Inputシート!AL14,"")</f>
      </c>
      <c r="G52" s="26">
        <f>_xlfn.IFERROR(Inputシート!$AJ$23/Inputシート!AL15,"")</f>
      </c>
      <c r="H52" s="26">
        <f>_xlfn.IFERROR(Inputシート!$AJ$23/Inputシート!AL16,"")</f>
      </c>
      <c r="I52" s="26">
        <f>_xlfn.IFERROR(Inputシート!$AJ$23/Inputシート!AK14,"")</f>
      </c>
      <c r="J52" s="26">
        <f>_xlfn.IFERROR(Inputシート!$AJ$23/Inputシート!AK15,"")</f>
      </c>
      <c r="K52" s="26">
        <f>_xlfn.IFERROR(Inputシート!$AJ$23/Inputシート!AK16,"")</f>
      </c>
      <c r="L52" s="165">
        <f>_xlfn.IFERROR(Inputシート!$AJ$21/Inputシート!AM14,"")</f>
      </c>
      <c r="M52" s="165">
        <f>_xlfn.IFERROR(Inputシート!$AJ$21/Inputシート!AM15,"")</f>
      </c>
      <c r="N52" s="165">
        <f>_xlfn.IFERROR(Inputシート!$AJ$21/Inputシート!AM16,"")</f>
      </c>
      <c r="O52" s="26">
        <f>_xlfn.IFERROR(Inputシート!AJ21/Inputシート!AJ25,"")</f>
      </c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2:32" ht="17.25">
      <c r="B53" s="1"/>
      <c r="C53" s="96" t="str">
        <f>Inputシート!AN5</f>
        <v>類似⑧社</v>
      </c>
      <c r="D53" s="261">
        <f>Inputシート!AN10</f>
      </c>
      <c r="E53" s="262"/>
      <c r="F53" s="26">
        <f>_xlfn.IFERROR(Inputシート!$AN$23/Inputシート!AP14,"")</f>
      </c>
      <c r="G53" s="26">
        <f>_xlfn.IFERROR(Inputシート!$AN$23/Inputシート!AP15,"")</f>
      </c>
      <c r="H53" s="26">
        <f>_xlfn.IFERROR(Inputシート!$AN$23/Inputシート!AP16,"")</f>
      </c>
      <c r="I53" s="26">
        <f>_xlfn.IFERROR(Inputシート!$AN$23/Inputシート!AO14,"")</f>
      </c>
      <c r="J53" s="26">
        <f>_xlfn.IFERROR(Inputシート!$AN$23/Inputシート!AO15,"")</f>
      </c>
      <c r="K53" s="26">
        <f>_xlfn.IFERROR(Inputシート!$AN$23/Inputシート!AO16,"")</f>
      </c>
      <c r="L53" s="165">
        <f>_xlfn.IFERROR(Inputシート!$AN$21/Inputシート!AQ14,"")</f>
      </c>
      <c r="M53" s="165">
        <f>_xlfn.IFERROR(Inputシート!$AN$21/Inputシート!AQ15,"")</f>
      </c>
      <c r="N53" s="165">
        <f>_xlfn.IFERROR(Inputシート!$AN$21/Inputシート!AQ16,"")</f>
      </c>
      <c r="O53" s="26">
        <f>_xlfn.IFERROR(Inputシート!AN21/Inputシート!AN25,"")</f>
      </c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2:32" ht="17.25">
      <c r="B54" s="1"/>
      <c r="C54" s="96" t="str">
        <f>Inputシート!AR5</f>
        <v>類似⑨社</v>
      </c>
      <c r="D54" s="261">
        <f>Inputシート!AR10</f>
      </c>
      <c r="E54" s="262"/>
      <c r="F54" s="26">
        <f>_xlfn.IFERROR(Inputシート!$AR$23/Inputシート!AT14,"")</f>
      </c>
      <c r="G54" s="26">
        <f>_xlfn.IFERROR(Inputシート!$AR$23/Inputシート!AT15,"")</f>
      </c>
      <c r="H54" s="26">
        <f>_xlfn.IFERROR(Inputシート!$AR$23/Inputシート!AT16,"")</f>
      </c>
      <c r="I54" s="26">
        <f>_xlfn.IFERROR(Inputシート!$AR$23/Inputシート!AS14,"")</f>
      </c>
      <c r="J54" s="26">
        <f>_xlfn.IFERROR(Inputシート!$AR$23/Inputシート!AS15,"")</f>
      </c>
      <c r="K54" s="26">
        <f>_xlfn.IFERROR(Inputシート!$AR$23/Inputシート!AS16,"")</f>
      </c>
      <c r="L54" s="165">
        <f>_xlfn.IFERROR(Inputシート!$AR$21/Inputシート!AU14,"")</f>
      </c>
      <c r="M54" s="165">
        <f>_xlfn.IFERROR(Inputシート!$AR$21/Inputシート!AU15,"")</f>
      </c>
      <c r="N54" s="165">
        <f>_xlfn.IFERROR(Inputシート!$AR$21/Inputシート!AU16,"")</f>
      </c>
      <c r="O54" s="26">
        <f>_xlfn.IFERROR(Inputシート!AR21/Inputシート!AR25,"")</f>
      </c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2:32" ht="17.25">
      <c r="B55" s="1"/>
      <c r="C55" s="96" t="str">
        <f>Inputシート!AV5</f>
        <v>類似⑩社</v>
      </c>
      <c r="D55" s="261">
        <f>Inputシート!AV10</f>
      </c>
      <c r="E55" s="262"/>
      <c r="F55" s="26">
        <f>_xlfn.IFERROR(Inputシート!$AV$23/Inputシート!AX14,"")</f>
      </c>
      <c r="G55" s="26">
        <f>_xlfn.IFERROR(Inputシート!$AV$23/Inputシート!AX15,"")</f>
      </c>
      <c r="H55" s="26">
        <f>_xlfn.IFERROR(Inputシート!$AV$23/Inputシート!AX16,"")</f>
      </c>
      <c r="I55" s="26">
        <f>_xlfn.IFERROR(Inputシート!$AV$23/Inputシート!AW14,"")</f>
      </c>
      <c r="J55" s="26">
        <f>_xlfn.IFERROR(Inputシート!$AV$23/Inputシート!AW15,"")</f>
      </c>
      <c r="K55" s="26">
        <f>_xlfn.IFERROR(Inputシート!$AV$23/Inputシート!AW16,"")</f>
      </c>
      <c r="L55" s="165">
        <f>_xlfn.IFERROR(Inputシート!$AV$21/Inputシート!AY14,"")</f>
      </c>
      <c r="M55" s="165">
        <f>_xlfn.IFERROR(Inputシート!$AV$21/Inputシート!AY15,"")</f>
      </c>
      <c r="N55" s="165">
        <f>_xlfn.IFERROR(Inputシート!$AV$21/Inputシート!AY16,"")</f>
      </c>
      <c r="O55" s="26">
        <f>_xlfn.IFERROR(Inputシート!AV21/Inputシート!AV25,"")</f>
      </c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2:32" ht="18" outlineLevel="1" thickBot="1">
      <c r="B56" s="1"/>
      <c r="C56" s="248" t="s">
        <v>34</v>
      </c>
      <c r="D56" s="249"/>
      <c r="E56" s="250"/>
      <c r="F56" s="97">
        <f aca="true" t="shared" si="0" ref="F56:O56">_xlfn.IFERROR(AVERAGE(F45:F55),"")</f>
      </c>
      <c r="G56" s="97">
        <f t="shared" si="0"/>
      </c>
      <c r="H56" s="97">
        <f t="shared" si="0"/>
      </c>
      <c r="I56" s="97">
        <f t="shared" si="0"/>
      </c>
      <c r="J56" s="97">
        <f t="shared" si="0"/>
      </c>
      <c r="K56" s="97">
        <f t="shared" si="0"/>
      </c>
      <c r="L56" s="97">
        <f t="shared" si="0"/>
      </c>
      <c r="M56" s="97">
        <f t="shared" si="0"/>
      </c>
      <c r="N56" s="97">
        <f t="shared" si="0"/>
      </c>
      <c r="O56" s="97">
        <f t="shared" si="0"/>
      </c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2:32" s="99" customFormat="1" ht="21" outlineLevel="1" thickBot="1" thickTop="1">
      <c r="B57" s="51"/>
      <c r="C57" s="251" t="s">
        <v>69</v>
      </c>
      <c r="D57" s="252"/>
      <c r="E57" s="253"/>
      <c r="F57" s="98">
        <f aca="true" t="shared" si="1" ref="F57:O57">_xlfn.IFERROR(MEDIAN(F45:F55),"")</f>
      </c>
      <c r="G57" s="98">
        <f t="shared" si="1"/>
      </c>
      <c r="H57" s="98">
        <f t="shared" si="1"/>
      </c>
      <c r="I57" s="98">
        <f t="shared" si="1"/>
      </c>
      <c r="J57" s="98">
        <f t="shared" si="1"/>
      </c>
      <c r="K57" s="98">
        <f t="shared" si="1"/>
      </c>
      <c r="L57" s="98">
        <f t="shared" si="1"/>
      </c>
      <c r="M57" s="98">
        <f t="shared" si="1"/>
      </c>
      <c r="N57" s="98">
        <f t="shared" si="1"/>
      </c>
      <c r="O57" s="98">
        <f t="shared" si="1"/>
      </c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</row>
    <row r="58" spans="2:31" ht="18" thickTop="1">
      <c r="B58" s="24"/>
      <c r="D58" s="1"/>
      <c r="E58" s="17"/>
      <c r="F58" s="17"/>
      <c r="G58" s="18"/>
      <c r="H58" s="17"/>
      <c r="I58" s="17"/>
      <c r="J58" s="18"/>
      <c r="K58" s="17"/>
      <c r="L58" s="17"/>
      <c r="M58" s="18"/>
      <c r="N58" s="17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2:31" ht="17.25">
      <c r="B59" s="1"/>
      <c r="C59" s="1"/>
      <c r="D59" s="1"/>
      <c r="E59" s="17"/>
      <c r="F59" s="17"/>
      <c r="G59" s="18"/>
      <c r="H59" s="17"/>
      <c r="I59" s="17"/>
      <c r="J59" s="18"/>
      <c r="K59" s="17"/>
      <c r="L59" s="17"/>
      <c r="M59" s="18"/>
      <c r="N59" s="17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2:32" ht="21.75">
      <c r="B60" s="1"/>
      <c r="C60" s="13"/>
      <c r="D60" s="13"/>
      <c r="E60" s="13"/>
      <c r="F60" s="178">
        <f>IF(F57="","",MIN('試算結果'!F57:H57))</f>
      </c>
      <c r="G60" s="179" t="s">
        <v>50</v>
      </c>
      <c r="H60" s="179">
        <f>IF(F57="","",MAX('試算結果'!F57:H57))</f>
      </c>
      <c r="I60" s="180">
        <f>IF(I57="","",MIN('試算結果'!I57:K57))</f>
      </c>
      <c r="J60" s="179" t="s">
        <v>50</v>
      </c>
      <c r="K60" s="181">
        <f>IF(I57="","",MAX('試算結果'!I57:K57))</f>
      </c>
      <c r="L60" s="179">
        <f>IF(L57="","",MIN('試算結果'!L57:N57))</f>
      </c>
      <c r="M60" s="179" t="s">
        <v>50</v>
      </c>
      <c r="N60" s="179">
        <f>IF(L57="","",MAX('試算結果'!L57:N57))</f>
      </c>
      <c r="O60" s="182">
        <f>'試算結果'!O57</f>
      </c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</row>
    <row r="61" spans="2:32" ht="21.75">
      <c r="B61" s="1"/>
      <c r="C61" s="190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</row>
    <row r="62" spans="2:31" ht="21.75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s="134" customFormat="1" ht="21.75">
      <c r="A63" s="13" t="s">
        <v>89</v>
      </c>
      <c r="B63" s="13"/>
      <c r="C63" s="136"/>
      <c r="D63" s="136"/>
      <c r="E63" s="137"/>
      <c r="F63" s="137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</row>
    <row r="64" spans="2:31" s="138" customFormat="1" ht="21.75">
      <c r="B64" s="13" t="s">
        <v>90</v>
      </c>
      <c r="C64" s="13"/>
      <c r="D64" s="13"/>
      <c r="E64" s="139"/>
      <c r="F64" s="139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</row>
    <row r="65" spans="2:32" ht="55.5" customHeight="1">
      <c r="B65" s="24"/>
      <c r="C65" s="81" t="s">
        <v>105</v>
      </c>
      <c r="D65" s="269" t="s">
        <v>102</v>
      </c>
      <c r="E65" s="82" t="s">
        <v>104</v>
      </c>
      <c r="F65" s="269" t="s">
        <v>74</v>
      </c>
      <c r="G65" s="82" t="s">
        <v>106</v>
      </c>
      <c r="H65" s="269" t="s">
        <v>81</v>
      </c>
      <c r="I65" s="82" t="s">
        <v>107</v>
      </c>
      <c r="J65" s="269" t="s">
        <v>74</v>
      </c>
      <c r="K65" s="82" t="s">
        <v>103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2:32" ht="32.25" customHeight="1">
      <c r="B66" s="24"/>
      <c r="C66" s="95">
        <f>_xlfn.IFERROR(E66*G66+I66*K66,"")</f>
      </c>
      <c r="D66" s="269"/>
      <c r="E66" s="83">
        <f>Inputシート!H53</f>
      </c>
      <c r="F66" s="269"/>
      <c r="G66" s="85">
        <f>Inputシート!I64</f>
      </c>
      <c r="H66" s="269"/>
      <c r="I66" s="83">
        <f>Inputシート!H46</f>
        <v>0</v>
      </c>
      <c r="J66" s="269"/>
      <c r="K66" s="85">
        <f>Inputシート!I63</f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2:31" ht="17.25">
      <c r="B67" s="1"/>
      <c r="C67" s="1"/>
      <c r="D67" s="1"/>
      <c r="E67" s="2"/>
      <c r="F67" s="2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2:31" ht="21.75">
      <c r="B68" s="13" t="s">
        <v>91</v>
      </c>
      <c r="C68" s="1"/>
      <c r="D68" s="1"/>
      <c r="E68" s="2"/>
      <c r="G68" s="94" t="s">
        <v>112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2:31" ht="17.25">
      <c r="B69" s="1"/>
      <c r="C69" s="86" t="s">
        <v>127</v>
      </c>
      <c r="D69" s="86"/>
      <c r="E69" s="87" t="s">
        <v>110</v>
      </c>
      <c r="F69" s="246">
        <f>Inputシート!H39</f>
        <v>0</v>
      </c>
      <c r="G69" s="246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2:31" ht="17.25">
      <c r="B70" s="1"/>
      <c r="C70" s="88" t="s">
        <v>11</v>
      </c>
      <c r="D70" s="88"/>
      <c r="E70" s="89" t="s">
        <v>111</v>
      </c>
      <c r="F70" s="247">
        <f>C66</f>
      </c>
      <c r="G70" s="247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2:31" ht="17.25">
      <c r="B71" s="1"/>
      <c r="C71" s="86" t="s">
        <v>17</v>
      </c>
      <c r="D71" s="86"/>
      <c r="E71" s="87" t="s">
        <v>131</v>
      </c>
      <c r="F71" s="246">
        <f>_xlfn.IFERROR(F69/F70,"")</f>
      </c>
      <c r="G71" s="246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2:31" ht="17.25">
      <c r="B72" s="1"/>
      <c r="C72" s="88" t="s">
        <v>18</v>
      </c>
      <c r="D72" s="88"/>
      <c r="E72" s="89" t="s">
        <v>130</v>
      </c>
      <c r="F72" s="254">
        <f>Inputシート!H22-Inputシート!H30</f>
        <v>0</v>
      </c>
      <c r="G72" s="254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2:31" ht="17.25">
      <c r="B73" s="1"/>
      <c r="C73" s="176" t="s">
        <v>108</v>
      </c>
      <c r="D73" s="176"/>
      <c r="E73" s="177" t="s">
        <v>128</v>
      </c>
      <c r="F73" s="254">
        <f>Inputシート!H42</f>
        <v>0</v>
      </c>
      <c r="G73" s="254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2:31" ht="17.25">
      <c r="B74" s="1"/>
      <c r="C74" s="176" t="s">
        <v>109</v>
      </c>
      <c r="D74" s="176"/>
      <c r="E74" s="177" t="s">
        <v>129</v>
      </c>
      <c r="F74" s="254">
        <f>Inputシート!H31+Inputシート!H32</f>
        <v>0</v>
      </c>
      <c r="G74" s="254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2:31" ht="20.25">
      <c r="B75" s="1"/>
      <c r="C75" s="90" t="s">
        <v>21</v>
      </c>
      <c r="D75" s="90"/>
      <c r="E75" s="91" t="s">
        <v>132</v>
      </c>
      <c r="F75" s="255">
        <f>_xlfn.IFERROR(F71-F72-F73+F74,"")</f>
      </c>
      <c r="G75" s="255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2:31" ht="20.25">
      <c r="B76" s="1"/>
      <c r="C76" s="92" t="s">
        <v>23</v>
      </c>
      <c r="D76" s="92"/>
      <c r="E76" s="93"/>
      <c r="F76" s="256">
        <f>_xlfn.IFERROR(F75*10^6/Inputシート!H20,"")</f>
      </c>
      <c r="G76" s="256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2:31" ht="17.25">
      <c r="B77" s="1"/>
      <c r="C77" s="1" t="s">
        <v>146</v>
      </c>
      <c r="D77" s="1"/>
      <c r="E77" s="2"/>
      <c r="F77" s="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2:31" ht="17.25">
      <c r="B78" s="1"/>
      <c r="C78" s="173" t="s">
        <v>120</v>
      </c>
      <c r="D78" s="174">
        <v>0.0025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2:31" ht="17.25">
      <c r="B79" s="1"/>
      <c r="C79" s="245" t="s">
        <v>119</v>
      </c>
      <c r="D79" s="245"/>
      <c r="E79" s="130">
        <f>_xlfn.IFERROR(F79-D78,"")</f>
      </c>
      <c r="F79" s="131">
        <f>C66</f>
      </c>
      <c r="G79" s="193">
        <f>_xlfn.IFERROR(F79+D78,"")</f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2:31" ht="17.25">
      <c r="B80" s="1"/>
      <c r="C80" s="244" t="s">
        <v>117</v>
      </c>
      <c r="D80" s="244"/>
      <c r="E80" s="25">
        <f>_xlfn.IFERROR($F$69/E79-$F$72-$F$73+$F$74,"")</f>
      </c>
      <c r="F80" s="25">
        <f>_xlfn.IFERROR($F$69/F79-$F$72-$F$73+$F$74,"")</f>
      </c>
      <c r="G80" s="25">
        <f>_xlfn.IFERROR($F$69/G79-$F$72-$F$73+$F$74,"")</f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2:31" ht="17.25">
      <c r="B81" s="1"/>
      <c r="C81" s="244" t="s">
        <v>118</v>
      </c>
      <c r="D81" s="244"/>
      <c r="E81" s="25">
        <f>_xlfn.IFERROR(E80*10^6/Inputシート!$H$20,"")</f>
      </c>
      <c r="F81" s="25">
        <f>_xlfn.IFERROR(F80*10^6/Inputシート!$H$20,"")</f>
      </c>
      <c r="G81" s="25">
        <f>_xlfn.IFERROR(G80*10^6/Inputシート!$H$20,"")</f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2:31" ht="17.25">
      <c r="B82" s="1"/>
      <c r="C82" s="1"/>
      <c r="D82" s="1"/>
      <c r="E82" s="2"/>
      <c r="F82" s="2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2:31" ht="17.25">
      <c r="B83" s="1"/>
      <c r="C83" s="1"/>
      <c r="D83" s="1"/>
      <c r="E83" s="2"/>
      <c r="F83" s="2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2:31" ht="17.25">
      <c r="B84" s="1"/>
      <c r="C84" s="1"/>
      <c r="D84" s="1"/>
      <c r="E84" s="2"/>
      <c r="F84" s="2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2:31" ht="17.25">
      <c r="B85" s="1"/>
      <c r="C85" s="1"/>
      <c r="D85" s="1"/>
      <c r="E85" s="2"/>
      <c r="F85" s="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2:31" ht="17.25">
      <c r="B86" s="1"/>
      <c r="C86" s="1"/>
      <c r="D86" s="1"/>
      <c r="E86" s="2"/>
      <c r="F86" s="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2:31" ht="17.25">
      <c r="B87" s="1"/>
      <c r="C87" s="1"/>
      <c r="D87" s="1"/>
      <c r="E87" s="2"/>
      <c r="F87" s="2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2:31" ht="17.25">
      <c r="B88" s="1"/>
      <c r="C88" s="1"/>
      <c r="D88" s="1"/>
      <c r="E88" s="2"/>
      <c r="F88" s="2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2:31" ht="17.25">
      <c r="B89" s="1"/>
      <c r="C89" s="1"/>
      <c r="D89" s="1"/>
      <c r="E89" s="2"/>
      <c r="F89" s="2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2:31" ht="17.25">
      <c r="B90" s="1"/>
      <c r="C90" s="1"/>
      <c r="D90" s="1"/>
      <c r="E90" s="2"/>
      <c r="F90" s="2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2:31" ht="17.25">
      <c r="B91" s="1"/>
      <c r="C91" s="1"/>
      <c r="D91" s="1"/>
      <c r="E91" s="2"/>
      <c r="F91" s="2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2:31" ht="17.25">
      <c r="B92" s="1"/>
      <c r="C92" s="1"/>
      <c r="D92" s="1"/>
      <c r="E92" s="2"/>
      <c r="F92" s="2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2:31" ht="17.25">
      <c r="B93" s="1"/>
      <c r="C93" s="1"/>
      <c r="D93" s="1"/>
      <c r="E93" s="2"/>
      <c r="F93" s="2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2:31" ht="17.25">
      <c r="B94" s="1"/>
      <c r="C94" s="1"/>
      <c r="D94" s="1"/>
      <c r="E94" s="2"/>
      <c r="F94" s="2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2:31" ht="17.25">
      <c r="B95" s="1"/>
      <c r="C95" s="1"/>
      <c r="D95" s="1"/>
      <c r="E95" s="2"/>
      <c r="F95" s="2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2:31" ht="17.25">
      <c r="B96" s="1"/>
      <c r="C96" s="1"/>
      <c r="D96" s="1"/>
      <c r="E96" s="2"/>
      <c r="F96" s="2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2:31" ht="17.25">
      <c r="B97" s="1"/>
      <c r="C97" s="1"/>
      <c r="D97" s="1"/>
      <c r="E97" s="2"/>
      <c r="F97" s="2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2:31" ht="17.25">
      <c r="B98" s="1"/>
      <c r="C98" s="1"/>
      <c r="D98" s="1"/>
      <c r="E98" s="2"/>
      <c r="F98" s="2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2:31" ht="17.25">
      <c r="B99" s="1"/>
      <c r="C99" s="1"/>
      <c r="D99" s="1"/>
      <c r="E99" s="2"/>
      <c r="F99" s="2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2:31" ht="17.25">
      <c r="B100" s="1"/>
      <c r="C100" s="1"/>
      <c r="D100" s="1"/>
      <c r="E100" s="2"/>
      <c r="F100" s="2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2:31" ht="17.25">
      <c r="B101" s="1"/>
      <c r="C101" s="1"/>
      <c r="D101" s="1"/>
      <c r="E101" s="2"/>
      <c r="F101" s="2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2:31" ht="17.25">
      <c r="B102" s="1"/>
      <c r="C102" s="1"/>
      <c r="D102" s="1"/>
      <c r="E102" s="2"/>
      <c r="F102" s="2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2:31" ht="17.25">
      <c r="B103" s="1"/>
      <c r="C103" s="1"/>
      <c r="D103" s="1"/>
      <c r="E103" s="2"/>
      <c r="F103" s="2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2:31" ht="17.25">
      <c r="B104" s="1"/>
      <c r="C104" s="1"/>
      <c r="D104" s="1"/>
      <c r="E104" s="2"/>
      <c r="F104" s="2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2:31" ht="17.25">
      <c r="B105" s="1"/>
      <c r="C105" s="1"/>
      <c r="D105" s="1"/>
      <c r="E105" s="2"/>
      <c r="F105" s="2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2:31" ht="17.25">
      <c r="B106" s="1"/>
      <c r="C106" s="1"/>
      <c r="D106" s="1"/>
      <c r="E106" s="2"/>
      <c r="F106" s="2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2:31" ht="17.25">
      <c r="B107" s="1"/>
      <c r="C107" s="1"/>
      <c r="D107" s="1"/>
      <c r="E107" s="2"/>
      <c r="F107" s="2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2:31" ht="17.25">
      <c r="B108" s="1"/>
      <c r="C108" s="1"/>
      <c r="D108" s="1"/>
      <c r="E108" s="2"/>
      <c r="F108" s="2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2:31" ht="17.25">
      <c r="B109" s="1"/>
      <c r="C109" s="1"/>
      <c r="D109" s="1"/>
      <c r="E109" s="2"/>
      <c r="F109" s="2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2:31" ht="17.25">
      <c r="B110" s="1"/>
      <c r="C110" s="1"/>
      <c r="D110" s="1"/>
      <c r="E110" s="2"/>
      <c r="F110" s="2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2:31" ht="17.25">
      <c r="B111" s="1"/>
      <c r="C111" s="1"/>
      <c r="D111" s="1"/>
      <c r="E111" s="2"/>
      <c r="F111" s="2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2:31" ht="17.25">
      <c r="B112" s="1"/>
      <c r="C112" s="1"/>
      <c r="D112" s="1"/>
      <c r="E112" s="2"/>
      <c r="F112" s="2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2:31" ht="17.25">
      <c r="B113" s="1"/>
      <c r="C113" s="1"/>
      <c r="D113" s="1"/>
      <c r="E113" s="2"/>
      <c r="F113" s="2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2:31" ht="17.25">
      <c r="B114" s="1"/>
      <c r="C114" s="1"/>
      <c r="D114" s="1"/>
      <c r="E114" s="2"/>
      <c r="F114" s="2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2:31" ht="17.25">
      <c r="B115" s="1"/>
      <c r="C115" s="1"/>
      <c r="D115" s="1"/>
      <c r="E115" s="2"/>
      <c r="F115" s="2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2:31" ht="17.25">
      <c r="B116" s="1"/>
      <c r="C116" s="1"/>
      <c r="D116" s="1"/>
      <c r="E116" s="2"/>
      <c r="F116" s="2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2:31" ht="17.25">
      <c r="B117" s="1"/>
      <c r="C117" s="1"/>
      <c r="D117" s="1"/>
      <c r="E117" s="2"/>
      <c r="F117" s="2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2:31" ht="17.25">
      <c r="B118" s="1"/>
      <c r="C118" s="1"/>
      <c r="D118" s="1"/>
      <c r="E118" s="2"/>
      <c r="F118" s="2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2:31" ht="17.25">
      <c r="B119" s="1"/>
      <c r="C119" s="1"/>
      <c r="D119" s="1"/>
      <c r="E119" s="2"/>
      <c r="F119" s="2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2:31" ht="17.25">
      <c r="B120" s="1"/>
      <c r="C120" s="1"/>
      <c r="D120" s="1"/>
      <c r="E120" s="2"/>
      <c r="F120" s="2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2:31" ht="17.25">
      <c r="B121" s="1"/>
      <c r="C121" s="1"/>
      <c r="D121" s="1"/>
      <c r="E121" s="2"/>
      <c r="F121" s="2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2:31" ht="17.25">
      <c r="B122" s="1"/>
      <c r="C122" s="1"/>
      <c r="D122" s="1"/>
      <c r="E122" s="2"/>
      <c r="F122" s="2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2:31" ht="17.25">
      <c r="B123" s="1"/>
      <c r="C123" s="1"/>
      <c r="D123" s="1"/>
      <c r="E123" s="2"/>
      <c r="F123" s="2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2:31" ht="17.25">
      <c r="B124" s="1"/>
      <c r="C124" s="1"/>
      <c r="D124" s="1"/>
      <c r="E124" s="2"/>
      <c r="F124" s="2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2:31" ht="17.25">
      <c r="B125" s="1"/>
      <c r="C125" s="1"/>
      <c r="D125" s="1"/>
      <c r="E125" s="2"/>
      <c r="F125" s="2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2:31" ht="17.25">
      <c r="B126" s="1"/>
      <c r="C126" s="1"/>
      <c r="D126" s="1"/>
      <c r="E126" s="2"/>
      <c r="F126" s="2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2:31" ht="17.25">
      <c r="B127" s="1"/>
      <c r="C127" s="1"/>
      <c r="D127" s="1"/>
      <c r="E127" s="2"/>
      <c r="F127" s="2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2:31" ht="17.25">
      <c r="B128" s="1"/>
      <c r="C128" s="1"/>
      <c r="D128" s="1"/>
      <c r="E128" s="2"/>
      <c r="F128" s="2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2:31" ht="17.25">
      <c r="B129" s="1"/>
      <c r="C129" s="1"/>
      <c r="D129" s="1"/>
      <c r="E129" s="2"/>
      <c r="F129" s="2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2:31" ht="17.25">
      <c r="B130" s="1"/>
      <c r="C130" s="1"/>
      <c r="D130" s="1"/>
      <c r="E130" s="2"/>
      <c r="F130" s="2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2:31" ht="17.25">
      <c r="B131" s="1"/>
      <c r="C131" s="1"/>
      <c r="D131" s="1"/>
      <c r="E131" s="2"/>
      <c r="F131" s="2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2:31" ht="17.25">
      <c r="B132" s="1"/>
      <c r="C132" s="1"/>
      <c r="D132" s="1"/>
      <c r="E132" s="2"/>
      <c r="F132" s="2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2:31" ht="17.25">
      <c r="B133" s="1"/>
      <c r="C133" s="1"/>
      <c r="D133" s="1"/>
      <c r="E133" s="2"/>
      <c r="F133" s="2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2:31" ht="17.25">
      <c r="B134" s="1"/>
      <c r="C134" s="1"/>
      <c r="D134" s="1"/>
      <c r="E134" s="2"/>
      <c r="F134" s="2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2:31" ht="17.25">
      <c r="B135" s="1"/>
      <c r="C135" s="1"/>
      <c r="D135" s="1"/>
      <c r="E135" s="2"/>
      <c r="F135" s="2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2:31" ht="17.25">
      <c r="B136" s="1"/>
      <c r="C136" s="1"/>
      <c r="D136" s="1"/>
      <c r="E136" s="2"/>
      <c r="F136" s="2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2:31" ht="17.25">
      <c r="B137" s="1"/>
      <c r="C137" s="1"/>
      <c r="D137" s="1"/>
      <c r="E137" s="2"/>
      <c r="F137" s="2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2:31" ht="17.25">
      <c r="B138" s="1"/>
      <c r="C138" s="1"/>
      <c r="D138" s="1"/>
      <c r="E138" s="2"/>
      <c r="F138" s="2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2:31" ht="17.25">
      <c r="B139" s="1"/>
      <c r="C139" s="1"/>
      <c r="D139" s="1"/>
      <c r="E139" s="2"/>
      <c r="F139" s="2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2:31" ht="17.25">
      <c r="B140" s="1"/>
      <c r="C140" s="1"/>
      <c r="D140" s="1"/>
      <c r="E140" s="2"/>
      <c r="F140" s="2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2:31" ht="17.25">
      <c r="B141" s="1"/>
      <c r="C141" s="1"/>
      <c r="D141" s="1"/>
      <c r="E141" s="2"/>
      <c r="F141" s="2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2:31" ht="17.25">
      <c r="B142" s="1"/>
      <c r="C142" s="1"/>
      <c r="D142" s="1"/>
      <c r="E142" s="2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2:31" ht="17.25">
      <c r="B143" s="1"/>
      <c r="C143" s="1"/>
      <c r="D143" s="1"/>
      <c r="E143" s="2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</sheetData>
  <sheetProtection/>
  <mergeCells count="54">
    <mergeCell ref="I2:K2"/>
    <mergeCell ref="B2:E2"/>
    <mergeCell ref="B5:E5"/>
    <mergeCell ref="B3:C4"/>
    <mergeCell ref="D3:E3"/>
    <mergeCell ref="D4:E4"/>
    <mergeCell ref="F2:H2"/>
    <mergeCell ref="C12:D12"/>
    <mergeCell ref="E13:G13"/>
    <mergeCell ref="H13:J13"/>
    <mergeCell ref="E22:J22"/>
    <mergeCell ref="E23:J23"/>
    <mergeCell ref="D65:D66"/>
    <mergeCell ref="F65:F66"/>
    <mergeCell ref="H65:H66"/>
    <mergeCell ref="J65:J66"/>
    <mergeCell ref="E19:J19"/>
    <mergeCell ref="E10:G10"/>
    <mergeCell ref="K10:M10"/>
    <mergeCell ref="H10:J10"/>
    <mergeCell ref="K13:M13"/>
    <mergeCell ref="E15:G15"/>
    <mergeCell ref="H15:J15"/>
    <mergeCell ref="K15:M15"/>
    <mergeCell ref="F73:G73"/>
    <mergeCell ref="E20:J20"/>
    <mergeCell ref="E21:J21"/>
    <mergeCell ref="D46:E46"/>
    <mergeCell ref="D47:E47"/>
    <mergeCell ref="D48:E48"/>
    <mergeCell ref="D49:E49"/>
    <mergeCell ref="I43:K43"/>
    <mergeCell ref="D53:E53"/>
    <mergeCell ref="D54:E54"/>
    <mergeCell ref="L43:N43"/>
    <mergeCell ref="F43:H43"/>
    <mergeCell ref="C14:D14"/>
    <mergeCell ref="F71:G71"/>
    <mergeCell ref="F72:G72"/>
    <mergeCell ref="D50:E50"/>
    <mergeCell ref="D55:E55"/>
    <mergeCell ref="D45:E45"/>
    <mergeCell ref="D51:E51"/>
    <mergeCell ref="D52:E52"/>
    <mergeCell ref="C80:D80"/>
    <mergeCell ref="C81:D81"/>
    <mergeCell ref="C79:D79"/>
    <mergeCell ref="F69:G69"/>
    <mergeCell ref="F70:G70"/>
    <mergeCell ref="C56:E56"/>
    <mergeCell ref="C57:E57"/>
    <mergeCell ref="F74:G74"/>
    <mergeCell ref="F75:G75"/>
    <mergeCell ref="F76:G76"/>
  </mergeCells>
  <printOptions/>
  <pageMargins left="0.2362204724409449" right="0.2362204724409449" top="0.7480314960629921" bottom="0.7480314960629921" header="0.31496062992125984" footer="0.31496062992125984"/>
  <pageSetup orientation="portrait" paperSize="9" scale="52" r:id="rId2"/>
  <ignoredErrors>
    <ignoredError sqref="F19:K19 K21 F20:K20 G60 M28:O30 E18:J18 K17:K18 K13:O13 L17:O18 K15:O16 O14 L14:N14 F14:J14 E24:K24 K22:K23 P46:P47 E28:K31 I27 F27 I25 F25 E26:J26 O26 O25 O12 O27 L25 L27 L26 M26:N26 K26 J3 G3 J5 G4 J4 F3 H3:I3 K3 P45 F17 I17 J60 M60" evalErro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74"/>
  <sheetViews>
    <sheetView view="pageBreakPreview" zoomScale="80" zoomScaleNormal="80" zoomScaleSheetLayoutView="80" zoomScalePageLayoutView="0" workbookViewId="0" topLeftCell="A2">
      <selection activeCell="I56" sqref="I56"/>
    </sheetView>
  </sheetViews>
  <sheetFormatPr defaultColWidth="11.00390625" defaultRowHeight="15" outlineLevelRow="1"/>
  <cols>
    <col min="1" max="1" width="3.00390625" style="1" customWidth="1"/>
    <col min="2" max="2" width="3.28125" style="1" customWidth="1"/>
    <col min="3" max="3" width="3.28125" style="41" customWidth="1"/>
    <col min="4" max="4" width="3.7109375" style="1" customWidth="1"/>
    <col min="5" max="5" width="8.28125" style="1" customWidth="1"/>
    <col min="6" max="6" width="6.57421875" style="1" customWidth="1"/>
    <col min="7" max="7" width="14.00390625" style="1" customWidth="1"/>
    <col min="8" max="16" width="13.57421875" style="1" customWidth="1"/>
    <col min="17" max="18" width="13.57421875" style="2" customWidth="1"/>
    <col min="19" max="51" width="13.57421875" style="1" customWidth="1"/>
    <col min="52" max="16384" width="11.00390625" style="1" customWidth="1"/>
  </cols>
  <sheetData>
    <row r="1" spans="2:15" s="169" customFormat="1" ht="30.75" customHeight="1">
      <c r="B1" s="206" t="s">
        <v>126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</row>
    <row r="2" ht="20.25">
      <c r="F2" s="1" t="s">
        <v>71</v>
      </c>
    </row>
    <row r="3" ht="20.25">
      <c r="F3" s="1" t="s">
        <v>72</v>
      </c>
    </row>
    <row r="4" spans="2:18" s="13" customFormat="1" ht="21.75">
      <c r="B4" s="13" t="s">
        <v>28</v>
      </c>
      <c r="Q4" s="139"/>
      <c r="R4" s="139"/>
    </row>
    <row r="5" spans="8:51" s="169" customFormat="1" ht="29.25" customHeight="1">
      <c r="H5" s="240" t="s">
        <v>67</v>
      </c>
      <c r="I5" s="241"/>
      <c r="J5" s="241"/>
      <c r="K5" s="242"/>
      <c r="L5" s="194" t="s">
        <v>55</v>
      </c>
      <c r="M5" s="195"/>
      <c r="N5" s="195"/>
      <c r="O5" s="207"/>
      <c r="P5" s="194" t="s">
        <v>56</v>
      </c>
      <c r="Q5" s="195"/>
      <c r="R5" s="195"/>
      <c r="S5" s="207"/>
      <c r="T5" s="194" t="s">
        <v>57</v>
      </c>
      <c r="U5" s="195"/>
      <c r="V5" s="195"/>
      <c r="W5" s="207"/>
      <c r="X5" s="194" t="s">
        <v>54</v>
      </c>
      <c r="Y5" s="195"/>
      <c r="Z5" s="195"/>
      <c r="AA5" s="207"/>
      <c r="AB5" s="194" t="s">
        <v>58</v>
      </c>
      <c r="AC5" s="195"/>
      <c r="AD5" s="195"/>
      <c r="AE5" s="207"/>
      <c r="AF5" s="194" t="s">
        <v>59</v>
      </c>
      <c r="AG5" s="195"/>
      <c r="AH5" s="195"/>
      <c r="AI5" s="207"/>
      <c r="AJ5" s="194" t="s">
        <v>60</v>
      </c>
      <c r="AK5" s="195"/>
      <c r="AL5" s="195"/>
      <c r="AM5" s="207"/>
      <c r="AN5" s="194" t="s">
        <v>61</v>
      </c>
      <c r="AO5" s="195"/>
      <c r="AP5" s="195"/>
      <c r="AQ5" s="195"/>
      <c r="AR5" s="195" t="s">
        <v>62</v>
      </c>
      <c r="AS5" s="195"/>
      <c r="AT5" s="195"/>
      <c r="AU5" s="207"/>
      <c r="AV5" s="194" t="s">
        <v>63</v>
      </c>
      <c r="AW5" s="195"/>
      <c r="AX5" s="195"/>
      <c r="AY5" s="195"/>
    </row>
    <row r="6" spans="2:51" s="41" customFormat="1" ht="20.25">
      <c r="B6" s="46"/>
      <c r="D6" s="157" t="s">
        <v>65</v>
      </c>
      <c r="E6" s="157"/>
      <c r="F6" s="158"/>
      <c r="G6" s="158"/>
      <c r="H6" s="197">
        <v>7541</v>
      </c>
      <c r="I6" s="197"/>
      <c r="J6" s="197"/>
      <c r="K6" s="198"/>
      <c r="L6" s="196">
        <v>3046</v>
      </c>
      <c r="M6" s="197"/>
      <c r="N6" s="197"/>
      <c r="O6" s="198"/>
      <c r="P6" s="196">
        <v>7455</v>
      </c>
      <c r="Q6" s="197"/>
      <c r="R6" s="197"/>
      <c r="S6" s="198"/>
      <c r="T6" s="196">
        <v>3318</v>
      </c>
      <c r="U6" s="197"/>
      <c r="V6" s="197"/>
      <c r="W6" s="198"/>
      <c r="X6" s="196">
        <v>9854</v>
      </c>
      <c r="Y6" s="197"/>
      <c r="Z6" s="197"/>
      <c r="AA6" s="198"/>
      <c r="AB6" s="196"/>
      <c r="AC6" s="197"/>
      <c r="AD6" s="197"/>
      <c r="AE6" s="198"/>
      <c r="AF6" s="196"/>
      <c r="AG6" s="197"/>
      <c r="AH6" s="197"/>
      <c r="AI6" s="198"/>
      <c r="AJ6" s="196"/>
      <c r="AK6" s="197"/>
      <c r="AL6" s="197"/>
      <c r="AM6" s="198"/>
      <c r="AN6" s="196"/>
      <c r="AO6" s="197"/>
      <c r="AP6" s="197"/>
      <c r="AQ6" s="198"/>
      <c r="AR6" s="196"/>
      <c r="AS6" s="197"/>
      <c r="AT6" s="197"/>
      <c r="AU6" s="198"/>
      <c r="AV6" s="196"/>
      <c r="AW6" s="197"/>
      <c r="AX6" s="197"/>
      <c r="AY6" s="197"/>
    </row>
    <row r="7" spans="2:51" s="41" customFormat="1" ht="20.25">
      <c r="B7" s="46"/>
      <c r="D7" s="159" t="s">
        <v>66</v>
      </c>
      <c r="E7" s="159"/>
      <c r="F7" s="160"/>
      <c r="G7" s="160"/>
      <c r="H7" s="230" t="s">
        <v>133</v>
      </c>
      <c r="I7" s="230"/>
      <c r="J7" s="230"/>
      <c r="K7" s="231"/>
      <c r="L7" s="235" t="s">
        <v>134</v>
      </c>
      <c r="M7" s="230"/>
      <c r="N7" s="230"/>
      <c r="O7" s="231"/>
      <c r="P7" s="235" t="s">
        <v>135</v>
      </c>
      <c r="Q7" s="230"/>
      <c r="R7" s="230"/>
      <c r="S7" s="231"/>
      <c r="T7" s="235" t="s">
        <v>136</v>
      </c>
      <c r="U7" s="230"/>
      <c r="V7" s="230"/>
      <c r="W7" s="231"/>
      <c r="X7" s="235" t="s">
        <v>137</v>
      </c>
      <c r="Y7" s="230"/>
      <c r="Z7" s="230"/>
      <c r="AA7" s="231"/>
      <c r="AB7" s="235"/>
      <c r="AC7" s="230"/>
      <c r="AD7" s="230"/>
      <c r="AE7" s="231"/>
      <c r="AF7" s="235"/>
      <c r="AG7" s="230"/>
      <c r="AH7" s="230"/>
      <c r="AI7" s="231"/>
      <c r="AJ7" s="235"/>
      <c r="AK7" s="230"/>
      <c r="AL7" s="230"/>
      <c r="AM7" s="231"/>
      <c r="AN7" s="235"/>
      <c r="AO7" s="230"/>
      <c r="AP7" s="230"/>
      <c r="AQ7" s="231"/>
      <c r="AR7" s="235"/>
      <c r="AS7" s="230"/>
      <c r="AT7" s="230"/>
      <c r="AU7" s="231"/>
      <c r="AV7" s="235"/>
      <c r="AW7" s="230"/>
      <c r="AX7" s="230"/>
      <c r="AY7" s="231"/>
    </row>
    <row r="8" spans="2:18" ht="20.25">
      <c r="B8" s="3"/>
      <c r="C8" s="46"/>
      <c r="D8" s="3"/>
      <c r="E8" s="3"/>
      <c r="F8" s="3"/>
      <c r="G8" s="3"/>
      <c r="Q8" s="1"/>
      <c r="R8" s="1"/>
    </row>
    <row r="9" spans="3:51" ht="20.25">
      <c r="C9" s="41" t="s">
        <v>31</v>
      </c>
      <c r="F9" s="4"/>
      <c r="G9" s="4"/>
      <c r="H9" s="20"/>
      <c r="I9" s="21"/>
      <c r="J9" s="21"/>
      <c r="K9" s="21"/>
      <c r="L9" s="5"/>
      <c r="M9" s="5"/>
      <c r="N9" s="5"/>
      <c r="O9" s="21"/>
      <c r="P9" s="5"/>
      <c r="Q9" s="5"/>
      <c r="R9" s="5"/>
      <c r="S9" s="21"/>
      <c r="T9" s="5"/>
      <c r="U9" s="5"/>
      <c r="V9" s="5"/>
      <c r="W9" s="21"/>
      <c r="X9" s="5"/>
      <c r="Y9" s="5"/>
      <c r="Z9" s="5"/>
      <c r="AA9" s="21"/>
      <c r="AB9" s="5"/>
      <c r="AC9" s="5"/>
      <c r="AD9" s="5"/>
      <c r="AE9" s="21"/>
      <c r="AF9" s="5"/>
      <c r="AG9" s="5"/>
      <c r="AH9" s="5"/>
      <c r="AI9" s="21"/>
      <c r="AJ9" s="5"/>
      <c r="AK9" s="5"/>
      <c r="AL9" s="5"/>
      <c r="AM9" s="21"/>
      <c r="AN9" s="5"/>
      <c r="AO9" s="5"/>
      <c r="AP9" s="5"/>
      <c r="AQ9" s="21"/>
      <c r="AR9" s="5"/>
      <c r="AS9" s="5"/>
      <c r="AT9" s="5"/>
      <c r="AU9" s="21"/>
      <c r="AV9" s="5"/>
      <c r="AW9" s="5"/>
      <c r="AX9" s="5"/>
      <c r="AY9" s="21"/>
    </row>
    <row r="10" spans="3:51" s="9" customFormat="1" ht="20.25">
      <c r="C10" s="47" t="s">
        <v>25</v>
      </c>
      <c r="D10" s="8"/>
      <c r="E10" s="8"/>
      <c r="F10" s="8"/>
      <c r="G10" s="8"/>
      <c r="H10" s="232" t="str">
        <f>IF(H7="","",H7)</f>
        <v>メガネトップ</v>
      </c>
      <c r="I10" s="233"/>
      <c r="J10" s="233"/>
      <c r="K10" s="234"/>
      <c r="L10" s="232" t="str">
        <f>IF(L7="","",L7)</f>
        <v>ジェイアイエヌ</v>
      </c>
      <c r="M10" s="233"/>
      <c r="N10" s="233"/>
      <c r="O10" s="234"/>
      <c r="P10" s="232" t="str">
        <f>IF(P7="","",P7)</f>
        <v>三城HD</v>
      </c>
      <c r="Q10" s="233"/>
      <c r="R10" s="233"/>
      <c r="S10" s="234"/>
      <c r="T10" s="232" t="str">
        <f>IF(T7="","",T7)</f>
        <v>メガネスーパー</v>
      </c>
      <c r="U10" s="233"/>
      <c r="V10" s="233"/>
      <c r="W10" s="234"/>
      <c r="X10" s="232" t="str">
        <f>IF(X7="","",X7)</f>
        <v>愛眼</v>
      </c>
      <c r="Y10" s="233"/>
      <c r="Z10" s="233"/>
      <c r="AA10" s="234"/>
      <c r="AB10" s="232">
        <f>IF(AB7="","",AB7)</f>
      </c>
      <c r="AC10" s="233"/>
      <c r="AD10" s="233"/>
      <c r="AE10" s="234"/>
      <c r="AF10" s="232">
        <f>IF(AF7="","",AF7)</f>
      </c>
      <c r="AG10" s="233"/>
      <c r="AH10" s="233"/>
      <c r="AI10" s="234"/>
      <c r="AJ10" s="232">
        <f>IF(AJ7="","",AJ7)</f>
      </c>
      <c r="AK10" s="233"/>
      <c r="AL10" s="233"/>
      <c r="AM10" s="234"/>
      <c r="AN10" s="232">
        <f>IF(AN7="","",AN7)</f>
      </c>
      <c r="AO10" s="233"/>
      <c r="AP10" s="233"/>
      <c r="AQ10" s="234"/>
      <c r="AR10" s="232">
        <f>IF(AR7="","",AR7)</f>
      </c>
      <c r="AS10" s="233"/>
      <c r="AT10" s="233"/>
      <c r="AU10" s="234"/>
      <c r="AV10" s="232">
        <f>IF(AV7="","",AV7)</f>
      </c>
      <c r="AW10" s="233"/>
      <c r="AX10" s="233"/>
      <c r="AY10" s="234"/>
    </row>
    <row r="11" spans="3:51" s="9" customFormat="1" ht="20.25">
      <c r="C11" s="47"/>
      <c r="D11" s="8"/>
      <c r="E11" s="8"/>
      <c r="F11" s="8"/>
      <c r="G11" s="8"/>
      <c r="H11" s="143" t="s">
        <v>26</v>
      </c>
      <c r="I11" s="144" t="s">
        <v>27</v>
      </c>
      <c r="J11" s="145" t="s">
        <v>35</v>
      </c>
      <c r="K11" s="146" t="s">
        <v>39</v>
      </c>
      <c r="L11" s="143" t="s">
        <v>26</v>
      </c>
      <c r="M11" s="144" t="s">
        <v>27</v>
      </c>
      <c r="N11" s="145" t="s">
        <v>35</v>
      </c>
      <c r="O11" s="146" t="s">
        <v>39</v>
      </c>
      <c r="P11" s="143" t="s">
        <v>26</v>
      </c>
      <c r="Q11" s="144" t="s">
        <v>27</v>
      </c>
      <c r="R11" s="145" t="s">
        <v>35</v>
      </c>
      <c r="S11" s="146" t="s">
        <v>39</v>
      </c>
      <c r="T11" s="143" t="s">
        <v>26</v>
      </c>
      <c r="U11" s="144" t="s">
        <v>27</v>
      </c>
      <c r="V11" s="145" t="s">
        <v>35</v>
      </c>
      <c r="W11" s="146" t="s">
        <v>39</v>
      </c>
      <c r="X11" s="143" t="s">
        <v>26</v>
      </c>
      <c r="Y11" s="144" t="s">
        <v>27</v>
      </c>
      <c r="Z11" s="145" t="s">
        <v>35</v>
      </c>
      <c r="AA11" s="146" t="s">
        <v>39</v>
      </c>
      <c r="AB11" s="143" t="s">
        <v>26</v>
      </c>
      <c r="AC11" s="144" t="s">
        <v>27</v>
      </c>
      <c r="AD11" s="145" t="s">
        <v>35</v>
      </c>
      <c r="AE11" s="146" t="s">
        <v>39</v>
      </c>
      <c r="AF11" s="143" t="s">
        <v>26</v>
      </c>
      <c r="AG11" s="144" t="s">
        <v>27</v>
      </c>
      <c r="AH11" s="145" t="s">
        <v>35</v>
      </c>
      <c r="AI11" s="146" t="s">
        <v>39</v>
      </c>
      <c r="AJ11" s="143" t="s">
        <v>26</v>
      </c>
      <c r="AK11" s="144" t="s">
        <v>27</v>
      </c>
      <c r="AL11" s="145" t="s">
        <v>35</v>
      </c>
      <c r="AM11" s="146" t="s">
        <v>39</v>
      </c>
      <c r="AN11" s="143" t="s">
        <v>26</v>
      </c>
      <c r="AO11" s="144" t="s">
        <v>27</v>
      </c>
      <c r="AP11" s="145" t="s">
        <v>35</v>
      </c>
      <c r="AQ11" s="146" t="s">
        <v>39</v>
      </c>
      <c r="AR11" s="143" t="s">
        <v>26</v>
      </c>
      <c r="AS11" s="144" t="s">
        <v>27</v>
      </c>
      <c r="AT11" s="145" t="s">
        <v>35</v>
      </c>
      <c r="AU11" s="146" t="s">
        <v>39</v>
      </c>
      <c r="AV11" s="143" t="s">
        <v>26</v>
      </c>
      <c r="AW11" s="144" t="s">
        <v>27</v>
      </c>
      <c r="AX11" s="145" t="s">
        <v>35</v>
      </c>
      <c r="AY11" s="146" t="s">
        <v>39</v>
      </c>
    </row>
    <row r="12" spans="3:51" ht="20.25" customHeight="1" hidden="1" outlineLevel="1">
      <c r="C12" s="48"/>
      <c r="D12" s="211">
        <f>D13-1</f>
        <v>2009</v>
      </c>
      <c r="E12" s="212"/>
      <c r="F12" s="10" t="s">
        <v>52</v>
      </c>
      <c r="G12" s="6" t="s">
        <v>53</v>
      </c>
      <c r="H12" s="59"/>
      <c r="I12" s="59"/>
      <c r="J12" s="14"/>
      <c r="K12" s="16"/>
      <c r="L12" s="59"/>
      <c r="M12" s="59"/>
      <c r="N12" s="14"/>
      <c r="O12" s="16"/>
      <c r="P12" s="59"/>
      <c r="Q12" s="59"/>
      <c r="R12" s="14"/>
      <c r="S12" s="16"/>
      <c r="T12" s="59"/>
      <c r="U12" s="59"/>
      <c r="V12" s="14"/>
      <c r="W12" s="16"/>
      <c r="X12" s="59"/>
      <c r="Y12" s="59"/>
      <c r="Z12" s="14"/>
      <c r="AA12" s="16"/>
      <c r="AB12" s="59"/>
      <c r="AC12" s="59"/>
      <c r="AD12" s="14"/>
      <c r="AE12" s="16"/>
      <c r="AF12" s="59"/>
      <c r="AG12" s="59"/>
      <c r="AH12" s="14"/>
      <c r="AI12" s="16"/>
      <c r="AJ12" s="59"/>
      <c r="AK12" s="59"/>
      <c r="AL12" s="14"/>
      <c r="AM12" s="16"/>
      <c r="AN12" s="59"/>
      <c r="AO12" s="59"/>
      <c r="AP12" s="14"/>
      <c r="AQ12" s="16"/>
      <c r="AR12" s="59"/>
      <c r="AS12" s="59"/>
      <c r="AT12" s="14"/>
      <c r="AU12" s="16"/>
      <c r="AV12" s="59"/>
      <c r="AW12" s="59"/>
      <c r="AX12" s="14"/>
      <c r="AY12" s="16"/>
    </row>
    <row r="13" spans="3:51" ht="20.25" customHeight="1" hidden="1" outlineLevel="1">
      <c r="C13" s="42"/>
      <c r="D13" s="211">
        <f>D14-1</f>
        <v>2010</v>
      </c>
      <c r="E13" s="212"/>
      <c r="F13" s="10" t="s">
        <v>52</v>
      </c>
      <c r="G13" s="6" t="s">
        <v>53</v>
      </c>
      <c r="H13" s="59"/>
      <c r="I13" s="59"/>
      <c r="J13" s="14"/>
      <c r="K13" s="16"/>
      <c r="L13" s="59"/>
      <c r="M13" s="59"/>
      <c r="N13" s="14"/>
      <c r="O13" s="16"/>
      <c r="P13" s="59"/>
      <c r="Q13" s="59"/>
      <c r="R13" s="14"/>
      <c r="S13" s="16"/>
      <c r="T13" s="59"/>
      <c r="U13" s="59"/>
      <c r="V13" s="14"/>
      <c r="W13" s="16"/>
      <c r="X13" s="59"/>
      <c r="Y13" s="59"/>
      <c r="Z13" s="14"/>
      <c r="AA13" s="16"/>
      <c r="AB13" s="59"/>
      <c r="AC13" s="59"/>
      <c r="AD13" s="14"/>
      <c r="AE13" s="16"/>
      <c r="AF13" s="59"/>
      <c r="AG13" s="59"/>
      <c r="AH13" s="14"/>
      <c r="AI13" s="16"/>
      <c r="AJ13" s="59"/>
      <c r="AK13" s="59"/>
      <c r="AL13" s="14"/>
      <c r="AM13" s="16"/>
      <c r="AN13" s="59"/>
      <c r="AO13" s="59"/>
      <c r="AP13" s="14"/>
      <c r="AQ13" s="16"/>
      <c r="AR13" s="59"/>
      <c r="AS13" s="59"/>
      <c r="AT13" s="14"/>
      <c r="AU13" s="16"/>
      <c r="AV13" s="59"/>
      <c r="AW13" s="59"/>
      <c r="AX13" s="14"/>
      <c r="AY13" s="16"/>
    </row>
    <row r="14" spans="3:51" ht="20.25" collapsed="1">
      <c r="C14" s="42"/>
      <c r="D14" s="222">
        <v>2011</v>
      </c>
      <c r="E14" s="223"/>
      <c r="F14" s="10" t="s">
        <v>52</v>
      </c>
      <c r="G14" s="6" t="s">
        <v>53</v>
      </c>
      <c r="H14" s="7">
        <v>63455.433</v>
      </c>
      <c r="I14" s="7">
        <v>8830.123</v>
      </c>
      <c r="J14" s="15">
        <f>IF(I14="","",I14+$H$29)</f>
        <v>10055.696</v>
      </c>
      <c r="K14" s="155">
        <v>4638.521</v>
      </c>
      <c r="L14" s="7">
        <v>22613</v>
      </c>
      <c r="M14" s="7">
        <v>2633</v>
      </c>
      <c r="N14" s="15">
        <f>IF(M14="","",M14+L29)</f>
        <v>3364.514</v>
      </c>
      <c r="O14" s="155">
        <v>1089</v>
      </c>
      <c r="P14" s="7">
        <v>59547</v>
      </c>
      <c r="Q14" s="7">
        <v>-114</v>
      </c>
      <c r="R14" s="15">
        <f>IF(Q14="","",Q14+P29)</f>
        <v>1420</v>
      </c>
      <c r="S14" s="155">
        <v>-1177</v>
      </c>
      <c r="T14" s="7">
        <v>19174</v>
      </c>
      <c r="U14" s="7">
        <v>-1289</v>
      </c>
      <c r="V14" s="15">
        <f>IF(U14="","",U14+T29)</f>
        <v>-1006.502</v>
      </c>
      <c r="W14" s="155">
        <v>-1978</v>
      </c>
      <c r="X14" s="7">
        <v>17914</v>
      </c>
      <c r="Y14" s="7">
        <v>-607</v>
      </c>
      <c r="Z14" s="15">
        <f>IF(Y14="","",Y14+X29)</f>
        <v>-162</v>
      </c>
      <c r="AA14" s="155">
        <v>-1040</v>
      </c>
      <c r="AB14" s="7"/>
      <c r="AC14" s="7"/>
      <c r="AD14" s="15">
        <f>IF(AC14="","",AC14+AB29)</f>
      </c>
      <c r="AE14" s="155"/>
      <c r="AF14" s="7"/>
      <c r="AG14" s="7"/>
      <c r="AH14" s="15">
        <f>IF(AG14="","",AG14+AF29)</f>
      </c>
      <c r="AI14" s="155"/>
      <c r="AJ14" s="7"/>
      <c r="AK14" s="7"/>
      <c r="AL14" s="15">
        <f>IF(AK14="","",AK14+AJ29)</f>
      </c>
      <c r="AM14" s="155"/>
      <c r="AN14" s="7"/>
      <c r="AO14" s="7"/>
      <c r="AP14" s="15">
        <f>IF(AO14="","",AO14+AN29)</f>
      </c>
      <c r="AQ14" s="155"/>
      <c r="AR14" s="7"/>
      <c r="AS14" s="7"/>
      <c r="AT14" s="15">
        <f>IF(AS14="","",AS14+AR29)</f>
      </c>
      <c r="AU14" s="155"/>
      <c r="AV14" s="7"/>
      <c r="AW14" s="7"/>
      <c r="AX14" s="15">
        <f>IF(AW14="","",AW14+AV29)</f>
      </c>
      <c r="AY14" s="155"/>
    </row>
    <row r="15" spans="3:51" ht="20.25">
      <c r="C15" s="42"/>
      <c r="D15" s="211">
        <f>IF(D14="","",D14+1)</f>
        <v>2012</v>
      </c>
      <c r="E15" s="212"/>
      <c r="F15" s="10" t="s">
        <v>52</v>
      </c>
      <c r="G15" s="6" t="s">
        <v>45</v>
      </c>
      <c r="H15" s="7">
        <v>68600</v>
      </c>
      <c r="I15" s="7">
        <v>9680</v>
      </c>
      <c r="J15" s="58">
        <f>IF(I15="","",I15+$H$29)</f>
        <v>10905.573</v>
      </c>
      <c r="K15" s="155">
        <v>5530</v>
      </c>
      <c r="L15" s="7">
        <v>29400</v>
      </c>
      <c r="M15" s="7">
        <v>3900</v>
      </c>
      <c r="N15" s="58">
        <f>IF(M15="","",M15+L29)</f>
        <v>4631.514</v>
      </c>
      <c r="O15" s="155">
        <v>1800</v>
      </c>
      <c r="P15" s="7">
        <v>60907</v>
      </c>
      <c r="Q15" s="7">
        <v>2543</v>
      </c>
      <c r="R15" s="58">
        <f>IF(Q15="","",Q15+P29)</f>
        <v>4077</v>
      </c>
      <c r="S15" s="155">
        <v>1215</v>
      </c>
      <c r="T15" s="7">
        <v>20789</v>
      </c>
      <c r="U15" s="7">
        <v>121</v>
      </c>
      <c r="V15" s="58">
        <f>IF(U15="","",U15+T29)</f>
        <v>403.498</v>
      </c>
      <c r="W15" s="155">
        <v>-158</v>
      </c>
      <c r="X15" s="7">
        <v>18602</v>
      </c>
      <c r="Y15" s="7">
        <v>50</v>
      </c>
      <c r="Z15" s="58">
        <f>IF(Y15="","",Y15+X29)</f>
        <v>495</v>
      </c>
      <c r="AA15" s="155">
        <v>-344</v>
      </c>
      <c r="AB15" s="7"/>
      <c r="AC15" s="7"/>
      <c r="AD15" s="58">
        <f>IF(AC15="","",AC15+AB29)</f>
      </c>
      <c r="AE15" s="155"/>
      <c r="AF15" s="7"/>
      <c r="AG15" s="7"/>
      <c r="AH15" s="58">
        <f>IF(AG15="","",AG15+AF29)</f>
      </c>
      <c r="AI15" s="155"/>
      <c r="AJ15" s="7"/>
      <c r="AK15" s="7"/>
      <c r="AL15" s="58">
        <f>IF(AK15="","",AK15+AJ29)</f>
      </c>
      <c r="AM15" s="155"/>
      <c r="AN15" s="7"/>
      <c r="AO15" s="7"/>
      <c r="AP15" s="58">
        <f>IF(AO15="","",AO15+AN29)</f>
      </c>
      <c r="AQ15" s="155"/>
      <c r="AR15" s="7"/>
      <c r="AS15" s="7"/>
      <c r="AT15" s="58">
        <f>IF(AS15="","",AS15+AR29)</f>
      </c>
      <c r="AU15" s="155"/>
      <c r="AV15" s="7"/>
      <c r="AW15" s="7"/>
      <c r="AX15" s="58">
        <f>IF(AW15="","",AW15+AV29)</f>
      </c>
      <c r="AY15" s="155"/>
    </row>
    <row r="16" spans="3:51" ht="20.25">
      <c r="C16" s="42"/>
      <c r="D16" s="211">
        <f>IF(D14="","",D15+1)</f>
        <v>2013</v>
      </c>
      <c r="E16" s="212"/>
      <c r="F16" s="10" t="s">
        <v>52</v>
      </c>
      <c r="G16" s="6" t="s">
        <v>45</v>
      </c>
      <c r="H16" s="7">
        <f>H15</f>
        <v>68600</v>
      </c>
      <c r="I16" s="7">
        <f>I15</f>
        <v>9680</v>
      </c>
      <c r="J16" s="58">
        <f>IF(I16="","",I16+$H$29)</f>
        <v>10905.573</v>
      </c>
      <c r="K16" s="155">
        <f>K15</f>
        <v>5530</v>
      </c>
      <c r="L16" s="7">
        <v>40600</v>
      </c>
      <c r="M16" s="7">
        <v>6800</v>
      </c>
      <c r="N16" s="58">
        <f>IF(M16="","",M16+L29)</f>
        <v>7531.514</v>
      </c>
      <c r="O16" s="155">
        <v>3900</v>
      </c>
      <c r="P16" s="7">
        <v>58413</v>
      </c>
      <c r="Q16" s="7">
        <v>1293</v>
      </c>
      <c r="R16" s="58">
        <f>IF(Q16="","",Q16+P29)</f>
        <v>2827</v>
      </c>
      <c r="S16" s="155">
        <v>658</v>
      </c>
      <c r="T16" s="7">
        <v>18000</v>
      </c>
      <c r="U16" s="7">
        <v>900</v>
      </c>
      <c r="V16" s="58">
        <f>IF(U16="","",U16+T29)</f>
        <v>1182.498</v>
      </c>
      <c r="W16" s="155">
        <v>700</v>
      </c>
      <c r="X16" s="7">
        <v>16809</v>
      </c>
      <c r="Y16" s="7">
        <v>-261</v>
      </c>
      <c r="Z16" s="58">
        <f>IF(Y16="","",Y16+X29)</f>
        <v>184</v>
      </c>
      <c r="AA16" s="155">
        <v>-388</v>
      </c>
      <c r="AB16" s="7"/>
      <c r="AC16" s="7"/>
      <c r="AD16" s="58">
        <f>IF(AC16="","",AC16+AB29)</f>
      </c>
      <c r="AE16" s="155"/>
      <c r="AF16" s="7"/>
      <c r="AG16" s="7"/>
      <c r="AH16" s="58">
        <f>IF(AG16="","",AG16+AF29)</f>
      </c>
      <c r="AI16" s="155"/>
      <c r="AJ16" s="7"/>
      <c r="AK16" s="7"/>
      <c r="AL16" s="58">
        <f>IF(AK16="","",AK16+AJ29)</f>
      </c>
      <c r="AM16" s="155"/>
      <c r="AN16" s="7"/>
      <c r="AO16" s="7"/>
      <c r="AP16" s="58">
        <f>IF(AO16="","",AO16+AN29)</f>
      </c>
      <c r="AQ16" s="155"/>
      <c r="AR16" s="7"/>
      <c r="AS16" s="7"/>
      <c r="AT16" s="58">
        <f>IF(AS16="","",AS16+AR29)</f>
      </c>
      <c r="AU16" s="155"/>
      <c r="AV16" s="7"/>
      <c r="AW16" s="7"/>
      <c r="AX16" s="58">
        <f>IF(AW16="","",AW16+AV29)</f>
      </c>
      <c r="AY16" s="155"/>
    </row>
    <row r="17" spans="4:18" ht="20.25">
      <c r="D17" s="1" t="s">
        <v>73</v>
      </c>
      <c r="Q17" s="1"/>
      <c r="R17" s="1"/>
    </row>
    <row r="18" spans="3:51" ht="20.25">
      <c r="C18" s="47" t="s">
        <v>77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</row>
    <row r="19" spans="3:51" ht="20.25">
      <c r="C19" s="47"/>
      <c r="D19" s="140" t="s">
        <v>78</v>
      </c>
      <c r="E19" s="140"/>
      <c r="F19" s="140"/>
      <c r="G19" s="140"/>
      <c r="H19" s="238">
        <v>1314</v>
      </c>
      <c r="I19" s="238"/>
      <c r="J19" s="238"/>
      <c r="K19" s="239"/>
      <c r="L19" s="238">
        <v>5500</v>
      </c>
      <c r="M19" s="238"/>
      <c r="N19" s="238"/>
      <c r="O19" s="239"/>
      <c r="P19" s="243">
        <v>538</v>
      </c>
      <c r="Q19" s="238"/>
      <c r="R19" s="238"/>
      <c r="S19" s="239"/>
      <c r="T19" s="238">
        <v>121</v>
      </c>
      <c r="U19" s="238"/>
      <c r="V19" s="238"/>
      <c r="W19" s="239"/>
      <c r="X19" s="238">
        <v>318</v>
      </c>
      <c r="Y19" s="238"/>
      <c r="Z19" s="238"/>
      <c r="AA19" s="239"/>
      <c r="AB19" s="238"/>
      <c r="AC19" s="238"/>
      <c r="AD19" s="238"/>
      <c r="AE19" s="239"/>
      <c r="AF19" s="238"/>
      <c r="AG19" s="238"/>
      <c r="AH19" s="238"/>
      <c r="AI19" s="239"/>
      <c r="AJ19" s="238"/>
      <c r="AK19" s="238"/>
      <c r="AL19" s="238"/>
      <c r="AM19" s="239"/>
      <c r="AN19" s="238"/>
      <c r="AO19" s="238"/>
      <c r="AP19" s="238"/>
      <c r="AQ19" s="239"/>
      <c r="AR19" s="238"/>
      <c r="AS19" s="238"/>
      <c r="AT19" s="238"/>
      <c r="AU19" s="239"/>
      <c r="AV19" s="238"/>
      <c r="AW19" s="238"/>
      <c r="AX19" s="238"/>
      <c r="AY19" s="239"/>
    </row>
    <row r="20" spans="3:51" ht="20.25">
      <c r="C20" s="47"/>
      <c r="D20" s="142" t="s">
        <v>79</v>
      </c>
      <c r="E20" s="142"/>
      <c r="F20" s="142"/>
      <c r="G20" s="142"/>
      <c r="H20" s="238">
        <v>45492477</v>
      </c>
      <c r="I20" s="238"/>
      <c r="J20" s="238"/>
      <c r="K20" s="239"/>
      <c r="L20" s="238">
        <v>23980000</v>
      </c>
      <c r="M20" s="238"/>
      <c r="N20" s="238"/>
      <c r="O20" s="239"/>
      <c r="P20" s="243">
        <v>56057474</v>
      </c>
      <c r="Q20" s="238"/>
      <c r="R20" s="238"/>
      <c r="S20" s="239"/>
      <c r="T20" s="238">
        <v>13790880</v>
      </c>
      <c r="U20" s="238"/>
      <c r="V20" s="238"/>
      <c r="W20" s="239"/>
      <c r="X20" s="238">
        <v>21076154</v>
      </c>
      <c r="Y20" s="238"/>
      <c r="Z20" s="238"/>
      <c r="AA20" s="239"/>
      <c r="AB20" s="238"/>
      <c r="AC20" s="238"/>
      <c r="AD20" s="238"/>
      <c r="AE20" s="239"/>
      <c r="AF20" s="238"/>
      <c r="AG20" s="238"/>
      <c r="AH20" s="238"/>
      <c r="AI20" s="239"/>
      <c r="AJ20" s="238"/>
      <c r="AK20" s="238"/>
      <c r="AL20" s="238"/>
      <c r="AM20" s="239"/>
      <c r="AN20" s="238"/>
      <c r="AO20" s="238"/>
      <c r="AP20" s="238"/>
      <c r="AQ20" s="239"/>
      <c r="AR20" s="238"/>
      <c r="AS20" s="238"/>
      <c r="AT20" s="238"/>
      <c r="AU20" s="239"/>
      <c r="AV20" s="238"/>
      <c r="AW20" s="238"/>
      <c r="AX20" s="238"/>
      <c r="AY20" s="239"/>
    </row>
    <row r="21" spans="3:51" ht="20.25">
      <c r="C21" s="47"/>
      <c r="D21" s="140" t="s">
        <v>80</v>
      </c>
      <c r="E21" s="140"/>
      <c r="F21" s="140"/>
      <c r="G21" s="140"/>
      <c r="H21" s="236">
        <f>IF(H19="","",H19*(H20-H24)/10^6)</f>
        <v>59777.114778</v>
      </c>
      <c r="I21" s="236"/>
      <c r="J21" s="236"/>
      <c r="K21" s="237"/>
      <c r="L21" s="236">
        <f>IF(L19="","",L19*(L20-L24)/10^6)</f>
        <v>131890</v>
      </c>
      <c r="M21" s="236"/>
      <c r="N21" s="236"/>
      <c r="O21" s="237"/>
      <c r="P21" s="236">
        <f>IF(P19="","",P19*(P20-P24)/10^6)</f>
        <v>30158.921012</v>
      </c>
      <c r="Q21" s="236"/>
      <c r="R21" s="236"/>
      <c r="S21" s="237"/>
      <c r="T21" s="236">
        <f>IF(T19="","",T19*(T20-T24)/10^6)</f>
        <v>1668.69648</v>
      </c>
      <c r="U21" s="236"/>
      <c r="V21" s="236"/>
      <c r="W21" s="237"/>
      <c r="X21" s="236">
        <f>IF(X19="","",X19*(X20-X24)/10^6)</f>
        <v>6702.216972</v>
      </c>
      <c r="Y21" s="236"/>
      <c r="Z21" s="236"/>
      <c r="AA21" s="237"/>
      <c r="AB21" s="236">
        <f>IF(AB19="","",AB19*(AB20-AB24)/10^6)</f>
      </c>
      <c r="AC21" s="236"/>
      <c r="AD21" s="236"/>
      <c r="AE21" s="237"/>
      <c r="AF21" s="236">
        <f>IF(AF19="","",AF19*(AF20-AF24)/10^6)</f>
      </c>
      <c r="AG21" s="236"/>
      <c r="AH21" s="236"/>
      <c r="AI21" s="237"/>
      <c r="AJ21" s="236">
        <f>IF(AJ19="","",AJ19*(AJ20-AJ24)/10^6)</f>
      </c>
      <c r="AK21" s="236"/>
      <c r="AL21" s="236"/>
      <c r="AM21" s="237"/>
      <c r="AN21" s="236">
        <f>IF(AN19="","",AN19*(AN20-AN24)/10^6)</f>
      </c>
      <c r="AO21" s="236"/>
      <c r="AP21" s="236"/>
      <c r="AQ21" s="237"/>
      <c r="AR21" s="236">
        <f>IF(AR19="","",AR19*(AR20-AR24)/10^6)</f>
      </c>
      <c r="AS21" s="236"/>
      <c r="AT21" s="236"/>
      <c r="AU21" s="237"/>
      <c r="AV21" s="236">
        <f>IF(AV19="","",AV19*(AV20-AV24)/10^6)</f>
      </c>
      <c r="AW21" s="236"/>
      <c r="AX21" s="236"/>
      <c r="AY21" s="237"/>
    </row>
    <row r="22" spans="3:51" ht="20.25">
      <c r="C22" s="42"/>
      <c r="D22" s="147" t="s">
        <v>70</v>
      </c>
      <c r="E22" s="147"/>
      <c r="F22" s="147"/>
      <c r="G22" s="148"/>
      <c r="H22" s="202">
        <v>2794.39</v>
      </c>
      <c r="I22" s="202"/>
      <c r="J22" s="202"/>
      <c r="K22" s="203"/>
      <c r="L22" s="202">
        <v>3409</v>
      </c>
      <c r="M22" s="202"/>
      <c r="N22" s="202"/>
      <c r="O22" s="203"/>
      <c r="P22" s="202">
        <v>5256</v>
      </c>
      <c r="Q22" s="202"/>
      <c r="R22" s="202"/>
      <c r="S22" s="203"/>
      <c r="T22" s="202">
        <v>8162.843</v>
      </c>
      <c r="U22" s="202"/>
      <c r="V22" s="202"/>
      <c r="W22" s="203"/>
      <c r="X22" s="202">
        <v>0</v>
      </c>
      <c r="Y22" s="202"/>
      <c r="Z22" s="202"/>
      <c r="AA22" s="203"/>
      <c r="AB22" s="202"/>
      <c r="AC22" s="202"/>
      <c r="AD22" s="202"/>
      <c r="AE22" s="203"/>
      <c r="AF22" s="202"/>
      <c r="AG22" s="202"/>
      <c r="AH22" s="202"/>
      <c r="AI22" s="203"/>
      <c r="AJ22" s="202"/>
      <c r="AK22" s="202"/>
      <c r="AL22" s="202"/>
      <c r="AM22" s="203"/>
      <c r="AN22" s="202"/>
      <c r="AO22" s="202"/>
      <c r="AP22" s="202"/>
      <c r="AQ22" s="203"/>
      <c r="AR22" s="202"/>
      <c r="AS22" s="202"/>
      <c r="AT22" s="202"/>
      <c r="AU22" s="203"/>
      <c r="AV22" s="202"/>
      <c r="AW22" s="202"/>
      <c r="AX22" s="202"/>
      <c r="AY22" s="203"/>
    </row>
    <row r="23" spans="4:51" ht="20.25">
      <c r="D23" s="156" t="s">
        <v>46</v>
      </c>
      <c r="E23" s="156"/>
      <c r="F23" s="156"/>
      <c r="G23" s="156"/>
      <c r="H23" s="213">
        <f>_xlfn.IFERROR(H21+(H22-H30)+H26+SUM(H31:K32),"")</f>
        <v>56182.726778000004</v>
      </c>
      <c r="I23" s="213"/>
      <c r="J23" s="213"/>
      <c r="K23" s="214"/>
      <c r="L23" s="213">
        <f>IF(L19="","",L21+(L22-L30)+L26+SUM(L31:O32))</f>
        <v>129136.174</v>
      </c>
      <c r="M23" s="213"/>
      <c r="N23" s="213"/>
      <c r="O23" s="214"/>
      <c r="P23" s="213">
        <f>IF(P19="","",P21+(P22-P30)+P26+SUM(P31:S32))</f>
        <v>16663.921012</v>
      </c>
      <c r="Q23" s="213"/>
      <c r="R23" s="213"/>
      <c r="S23" s="214"/>
      <c r="T23" s="213">
        <f>IF(T19="","",T21+(T22-T30)+T26+SUM(T31:W32))</f>
        <v>8566.10848</v>
      </c>
      <c r="U23" s="213"/>
      <c r="V23" s="213"/>
      <c r="W23" s="214"/>
      <c r="X23" s="213">
        <f>IF(X19="","",X21+(X22-X30)+X26+SUM(X31:AA32))</f>
        <v>-775.7830279999998</v>
      </c>
      <c r="Y23" s="213"/>
      <c r="Z23" s="213"/>
      <c r="AA23" s="214"/>
      <c r="AB23" s="213">
        <f>IF(AB19="","",AB21+(AB22-AB30)+AB26+SUM(AB31:AE32))</f>
      </c>
      <c r="AC23" s="213"/>
      <c r="AD23" s="213"/>
      <c r="AE23" s="214"/>
      <c r="AF23" s="213">
        <f>IF(AF19="","",AF21+(AF22-AF30)+AF26+SUM(AF31:AI32))</f>
      </c>
      <c r="AG23" s="213"/>
      <c r="AH23" s="213"/>
      <c r="AI23" s="214"/>
      <c r="AJ23" s="213">
        <f>IF(AJ19="","",AJ21+(AJ22-AJ30)+AJ26+SUM(AJ31:AM32))</f>
      </c>
      <c r="AK23" s="213"/>
      <c r="AL23" s="213"/>
      <c r="AM23" s="214"/>
      <c r="AN23" s="213">
        <f>IF(AN19="","",AN21+(AN22-AN30)+AN26+SUM(AN31:AQ32))</f>
      </c>
      <c r="AO23" s="213"/>
      <c r="AP23" s="213"/>
      <c r="AQ23" s="214"/>
      <c r="AR23" s="213">
        <f>IF(AR19="","",AR21+(AR22-AR30)+AR26+SUM(AR31:AU32))</f>
      </c>
      <c r="AS23" s="213"/>
      <c r="AT23" s="213"/>
      <c r="AU23" s="214"/>
      <c r="AV23" s="213">
        <f>IF(AV19="","",AV21+(AV22-AV30)+AV26+SUM(AV31:AY32))</f>
      </c>
      <c r="AW23" s="213"/>
      <c r="AX23" s="213"/>
      <c r="AY23" s="214"/>
    </row>
    <row r="24" spans="3:51" ht="20.25">
      <c r="C24" s="47"/>
      <c r="D24" s="11" t="s">
        <v>47</v>
      </c>
      <c r="E24" s="11"/>
      <c r="F24" s="11"/>
      <c r="G24" s="11"/>
      <c r="H24" s="215"/>
      <c r="I24" s="215"/>
      <c r="J24" s="215"/>
      <c r="K24" s="216"/>
      <c r="L24" s="215"/>
      <c r="M24" s="215"/>
      <c r="N24" s="215"/>
      <c r="O24" s="216"/>
      <c r="P24" s="215"/>
      <c r="Q24" s="215"/>
      <c r="R24" s="215"/>
      <c r="S24" s="216"/>
      <c r="T24" s="215"/>
      <c r="U24" s="215"/>
      <c r="V24" s="215"/>
      <c r="W24" s="216"/>
      <c r="X24" s="215"/>
      <c r="Y24" s="215"/>
      <c r="Z24" s="215"/>
      <c r="AA24" s="216"/>
      <c r="AB24" s="215"/>
      <c r="AC24" s="215"/>
      <c r="AD24" s="215"/>
      <c r="AE24" s="216"/>
      <c r="AF24" s="215"/>
      <c r="AG24" s="215"/>
      <c r="AH24" s="215"/>
      <c r="AI24" s="216"/>
      <c r="AJ24" s="215"/>
      <c r="AK24" s="215"/>
      <c r="AL24" s="215"/>
      <c r="AM24" s="216"/>
      <c r="AN24" s="215"/>
      <c r="AO24" s="215"/>
      <c r="AP24" s="215"/>
      <c r="AQ24" s="216"/>
      <c r="AR24" s="215"/>
      <c r="AS24" s="215"/>
      <c r="AT24" s="215"/>
      <c r="AU24" s="216"/>
      <c r="AV24" s="215"/>
      <c r="AW24" s="215"/>
      <c r="AX24" s="215"/>
      <c r="AY24" s="216"/>
    </row>
    <row r="25" spans="3:51" ht="20.25">
      <c r="C25" s="47"/>
      <c r="D25" s="12" t="s">
        <v>124</v>
      </c>
      <c r="E25" s="12"/>
      <c r="F25" s="12"/>
      <c r="G25" s="23"/>
      <c r="H25" s="215"/>
      <c r="I25" s="215"/>
      <c r="J25" s="215"/>
      <c r="K25" s="216"/>
      <c r="L25" s="204"/>
      <c r="M25" s="204"/>
      <c r="N25" s="204"/>
      <c r="O25" s="205"/>
      <c r="P25" s="204"/>
      <c r="Q25" s="204"/>
      <c r="R25" s="204"/>
      <c r="S25" s="205"/>
      <c r="T25" s="204"/>
      <c r="U25" s="204"/>
      <c r="V25" s="204"/>
      <c r="W25" s="205"/>
      <c r="X25" s="204"/>
      <c r="Y25" s="204"/>
      <c r="Z25" s="204"/>
      <c r="AA25" s="205"/>
      <c r="AB25" s="204"/>
      <c r="AC25" s="204"/>
      <c r="AD25" s="204"/>
      <c r="AE25" s="205"/>
      <c r="AF25" s="204"/>
      <c r="AG25" s="204"/>
      <c r="AH25" s="204"/>
      <c r="AI25" s="205"/>
      <c r="AJ25" s="204"/>
      <c r="AK25" s="204"/>
      <c r="AL25" s="204"/>
      <c r="AM25" s="205"/>
      <c r="AN25" s="204"/>
      <c r="AO25" s="204"/>
      <c r="AP25" s="204"/>
      <c r="AQ25" s="205"/>
      <c r="AR25" s="204"/>
      <c r="AS25" s="204"/>
      <c r="AT25" s="204"/>
      <c r="AU25" s="205"/>
      <c r="AV25" s="204"/>
      <c r="AW25" s="204"/>
      <c r="AX25" s="204"/>
      <c r="AY25" s="205"/>
    </row>
    <row r="26" spans="3:51" ht="20.25">
      <c r="C26" s="42"/>
      <c r="D26" s="12" t="s">
        <v>68</v>
      </c>
      <c r="E26" s="12"/>
      <c r="F26" s="12"/>
      <c r="G26" s="11"/>
      <c r="H26" s="215"/>
      <c r="I26" s="215"/>
      <c r="J26" s="215"/>
      <c r="K26" s="216"/>
      <c r="L26" s="204"/>
      <c r="M26" s="204"/>
      <c r="N26" s="204"/>
      <c r="O26" s="205"/>
      <c r="P26" s="204"/>
      <c r="Q26" s="204"/>
      <c r="R26" s="204"/>
      <c r="S26" s="205"/>
      <c r="T26" s="204"/>
      <c r="U26" s="204"/>
      <c r="V26" s="204"/>
      <c r="W26" s="205"/>
      <c r="X26" s="204"/>
      <c r="Y26" s="204"/>
      <c r="Z26" s="204"/>
      <c r="AA26" s="205"/>
      <c r="AB26" s="204"/>
      <c r="AC26" s="204"/>
      <c r="AD26" s="204"/>
      <c r="AE26" s="205"/>
      <c r="AF26" s="204"/>
      <c r="AG26" s="204"/>
      <c r="AH26" s="204"/>
      <c r="AI26" s="205"/>
      <c r="AJ26" s="204"/>
      <c r="AK26" s="204"/>
      <c r="AL26" s="204"/>
      <c r="AM26" s="205"/>
      <c r="AN26" s="204"/>
      <c r="AO26" s="204"/>
      <c r="AP26" s="204"/>
      <c r="AQ26" s="205"/>
      <c r="AR26" s="204"/>
      <c r="AS26" s="204"/>
      <c r="AT26" s="204"/>
      <c r="AU26" s="205"/>
      <c r="AV26" s="204"/>
      <c r="AW26" s="204"/>
      <c r="AX26" s="204"/>
      <c r="AY26" s="205"/>
    </row>
    <row r="27" spans="17:18" ht="20.25">
      <c r="Q27" s="1"/>
      <c r="R27" s="1"/>
    </row>
    <row r="28" spans="3:51" ht="20.25">
      <c r="C28" s="49" t="s">
        <v>29</v>
      </c>
      <c r="D28" s="4"/>
      <c r="E28" s="4"/>
      <c r="F28" s="4"/>
      <c r="G28" s="4"/>
      <c r="H28" s="208" t="str">
        <f>$D$14&amp;$F$14</f>
        <v>2011年度</v>
      </c>
      <c r="I28" s="209"/>
      <c r="J28" s="209"/>
      <c r="K28" s="210"/>
      <c r="L28" s="208" t="str">
        <f>$D$14&amp;$F$14</f>
        <v>2011年度</v>
      </c>
      <c r="M28" s="209"/>
      <c r="N28" s="209"/>
      <c r="O28" s="210"/>
      <c r="P28" s="208" t="str">
        <f>$D$14&amp;$F$14</f>
        <v>2011年度</v>
      </c>
      <c r="Q28" s="209"/>
      <c r="R28" s="209"/>
      <c r="S28" s="210"/>
      <c r="T28" s="208" t="str">
        <f>$D$14&amp;$F$14</f>
        <v>2011年度</v>
      </c>
      <c r="U28" s="209"/>
      <c r="V28" s="209"/>
      <c r="W28" s="210"/>
      <c r="X28" s="208" t="str">
        <f>$D$14&amp;$F$14</f>
        <v>2011年度</v>
      </c>
      <c r="Y28" s="209"/>
      <c r="Z28" s="209"/>
      <c r="AA28" s="210"/>
      <c r="AB28" s="208" t="str">
        <f>$D$14&amp;$F$14</f>
        <v>2011年度</v>
      </c>
      <c r="AC28" s="209"/>
      <c r="AD28" s="209"/>
      <c r="AE28" s="210"/>
      <c r="AF28" s="208" t="str">
        <f>$D$14&amp;$F$14</f>
        <v>2011年度</v>
      </c>
      <c r="AG28" s="209"/>
      <c r="AH28" s="209"/>
      <c r="AI28" s="210"/>
      <c r="AJ28" s="208" t="str">
        <f>$D$14&amp;$F$14</f>
        <v>2011年度</v>
      </c>
      <c r="AK28" s="209"/>
      <c r="AL28" s="209"/>
      <c r="AM28" s="210"/>
      <c r="AN28" s="208" t="str">
        <f>$D$14&amp;$F$14</f>
        <v>2011年度</v>
      </c>
      <c r="AO28" s="209"/>
      <c r="AP28" s="209"/>
      <c r="AQ28" s="210"/>
      <c r="AR28" s="208" t="str">
        <f>$D$14&amp;$F$14</f>
        <v>2011年度</v>
      </c>
      <c r="AS28" s="209"/>
      <c r="AT28" s="209"/>
      <c r="AU28" s="210"/>
      <c r="AV28" s="208" t="str">
        <f>$D$14&amp;$F$14</f>
        <v>2011年度</v>
      </c>
      <c r="AW28" s="209"/>
      <c r="AX28" s="209"/>
      <c r="AY28" s="210"/>
    </row>
    <row r="29" spans="3:51" ht="20.25">
      <c r="C29" s="50"/>
      <c r="D29" s="147" t="s">
        <v>30</v>
      </c>
      <c r="E29" s="147"/>
      <c r="F29" s="147"/>
      <c r="G29" s="148"/>
      <c r="H29" s="202">
        <v>1225.573</v>
      </c>
      <c r="I29" s="202"/>
      <c r="J29" s="202"/>
      <c r="K29" s="203"/>
      <c r="L29" s="202">
        <v>731.514</v>
      </c>
      <c r="M29" s="202"/>
      <c r="N29" s="202"/>
      <c r="O29" s="203"/>
      <c r="P29" s="202">
        <v>1534</v>
      </c>
      <c r="Q29" s="202"/>
      <c r="R29" s="202"/>
      <c r="S29" s="203"/>
      <c r="T29" s="202">
        <v>282.498</v>
      </c>
      <c r="U29" s="202"/>
      <c r="V29" s="202"/>
      <c r="W29" s="203"/>
      <c r="X29" s="202">
        <v>445</v>
      </c>
      <c r="Y29" s="202"/>
      <c r="Z29" s="202"/>
      <c r="AA29" s="203"/>
      <c r="AB29" s="202"/>
      <c r="AC29" s="202"/>
      <c r="AD29" s="202"/>
      <c r="AE29" s="203"/>
      <c r="AF29" s="202"/>
      <c r="AG29" s="202"/>
      <c r="AH29" s="202"/>
      <c r="AI29" s="203"/>
      <c r="AJ29" s="202"/>
      <c r="AK29" s="202"/>
      <c r="AL29" s="202"/>
      <c r="AM29" s="203"/>
      <c r="AN29" s="202"/>
      <c r="AO29" s="202"/>
      <c r="AP29" s="202"/>
      <c r="AQ29" s="203"/>
      <c r="AR29" s="202"/>
      <c r="AS29" s="202"/>
      <c r="AT29" s="202"/>
      <c r="AU29" s="203"/>
      <c r="AV29" s="202"/>
      <c r="AW29" s="202"/>
      <c r="AX29" s="202"/>
      <c r="AY29" s="203"/>
    </row>
    <row r="30" spans="3:51" ht="20.25">
      <c r="C30" s="42"/>
      <c r="D30" s="141" t="s">
        <v>24</v>
      </c>
      <c r="E30" s="141"/>
      <c r="F30" s="141"/>
      <c r="G30" s="142"/>
      <c r="H30" s="202">
        <v>6388.778</v>
      </c>
      <c r="I30" s="202"/>
      <c r="J30" s="202"/>
      <c r="K30" s="203"/>
      <c r="L30" s="202">
        <v>6162.826</v>
      </c>
      <c r="M30" s="202"/>
      <c r="N30" s="202"/>
      <c r="O30" s="203"/>
      <c r="P30" s="202">
        <v>18751</v>
      </c>
      <c r="Q30" s="202"/>
      <c r="R30" s="202"/>
      <c r="S30" s="203"/>
      <c r="T30" s="202">
        <v>1265.431</v>
      </c>
      <c r="U30" s="202"/>
      <c r="V30" s="202"/>
      <c r="W30" s="203"/>
      <c r="X30" s="202">
        <v>7478</v>
      </c>
      <c r="Y30" s="202"/>
      <c r="Z30" s="202"/>
      <c r="AA30" s="203"/>
      <c r="AB30" s="202"/>
      <c r="AC30" s="202"/>
      <c r="AD30" s="202"/>
      <c r="AE30" s="203"/>
      <c r="AF30" s="202"/>
      <c r="AG30" s="202"/>
      <c r="AH30" s="202"/>
      <c r="AI30" s="203"/>
      <c r="AJ30" s="202"/>
      <c r="AK30" s="202"/>
      <c r="AL30" s="202"/>
      <c r="AM30" s="203"/>
      <c r="AN30" s="202"/>
      <c r="AO30" s="202"/>
      <c r="AP30" s="202"/>
      <c r="AQ30" s="203"/>
      <c r="AR30" s="202"/>
      <c r="AS30" s="202"/>
      <c r="AT30" s="202"/>
      <c r="AU30" s="203"/>
      <c r="AV30" s="202"/>
      <c r="AW30" s="202"/>
      <c r="AX30" s="202"/>
      <c r="AY30" s="203"/>
    </row>
    <row r="31" spans="3:51" ht="20.25">
      <c r="C31" s="42"/>
      <c r="D31" s="12" t="s">
        <v>49</v>
      </c>
      <c r="E31" s="12"/>
      <c r="F31" s="12"/>
      <c r="G31" s="11"/>
      <c r="H31" s="204"/>
      <c r="I31" s="204"/>
      <c r="J31" s="204"/>
      <c r="K31" s="205"/>
      <c r="L31" s="204"/>
      <c r="M31" s="204"/>
      <c r="N31" s="204"/>
      <c r="O31" s="205"/>
      <c r="P31" s="204"/>
      <c r="Q31" s="204"/>
      <c r="R31" s="204"/>
      <c r="S31" s="205"/>
      <c r="T31" s="204"/>
      <c r="U31" s="204"/>
      <c r="V31" s="204"/>
      <c r="W31" s="205"/>
      <c r="X31" s="204"/>
      <c r="Y31" s="204"/>
      <c r="Z31" s="204"/>
      <c r="AA31" s="205"/>
      <c r="AB31" s="204"/>
      <c r="AC31" s="204"/>
      <c r="AD31" s="204"/>
      <c r="AE31" s="205"/>
      <c r="AF31" s="204"/>
      <c r="AG31" s="204"/>
      <c r="AH31" s="204"/>
      <c r="AI31" s="205"/>
      <c r="AJ31" s="204"/>
      <c r="AK31" s="204"/>
      <c r="AL31" s="204"/>
      <c r="AM31" s="205"/>
      <c r="AN31" s="204"/>
      <c r="AO31" s="204"/>
      <c r="AP31" s="204"/>
      <c r="AQ31" s="205"/>
      <c r="AR31" s="204"/>
      <c r="AS31" s="204"/>
      <c r="AT31" s="204"/>
      <c r="AU31" s="205"/>
      <c r="AV31" s="204"/>
      <c r="AW31" s="204"/>
      <c r="AX31" s="204"/>
      <c r="AY31" s="205"/>
    </row>
    <row r="32" spans="3:51" ht="20.25">
      <c r="C32" s="42"/>
      <c r="D32" s="12" t="s">
        <v>48</v>
      </c>
      <c r="E32" s="12"/>
      <c r="F32" s="12"/>
      <c r="G32" s="11"/>
      <c r="H32" s="204"/>
      <c r="I32" s="204"/>
      <c r="J32" s="204"/>
      <c r="K32" s="205"/>
      <c r="L32" s="204"/>
      <c r="M32" s="204"/>
      <c r="N32" s="204"/>
      <c r="O32" s="205"/>
      <c r="P32" s="204"/>
      <c r="Q32" s="204"/>
      <c r="R32" s="204"/>
      <c r="S32" s="205"/>
      <c r="T32" s="204"/>
      <c r="U32" s="204"/>
      <c r="V32" s="204"/>
      <c r="W32" s="205"/>
      <c r="X32" s="204"/>
      <c r="Y32" s="204"/>
      <c r="Z32" s="204"/>
      <c r="AA32" s="205"/>
      <c r="AB32" s="204"/>
      <c r="AC32" s="204"/>
      <c r="AD32" s="204"/>
      <c r="AE32" s="205"/>
      <c r="AF32" s="204"/>
      <c r="AG32" s="204"/>
      <c r="AH32" s="204"/>
      <c r="AI32" s="205"/>
      <c r="AJ32" s="204"/>
      <c r="AK32" s="204"/>
      <c r="AL32" s="204"/>
      <c r="AM32" s="205"/>
      <c r="AN32" s="204"/>
      <c r="AO32" s="204"/>
      <c r="AP32" s="204"/>
      <c r="AQ32" s="205"/>
      <c r="AR32" s="204"/>
      <c r="AS32" s="204"/>
      <c r="AT32" s="204"/>
      <c r="AU32" s="205"/>
      <c r="AV32" s="204"/>
      <c r="AW32" s="204"/>
      <c r="AX32" s="204"/>
      <c r="AY32" s="205"/>
    </row>
    <row r="33" spans="3:51" ht="20.25">
      <c r="C33" s="42"/>
      <c r="D33" s="5"/>
      <c r="E33" s="5"/>
      <c r="F33" s="5"/>
      <c r="G33" s="4"/>
      <c r="H33" s="4"/>
      <c r="I33" s="22"/>
      <c r="J33" s="4"/>
      <c r="K33" s="4"/>
      <c r="L33" s="4"/>
      <c r="O33" s="4"/>
      <c r="S33" s="4"/>
      <c r="W33" s="4"/>
      <c r="AA33" s="4"/>
      <c r="AE33" s="4"/>
      <c r="AI33" s="4"/>
      <c r="AM33" s="4"/>
      <c r="AQ33" s="4"/>
      <c r="AU33" s="4"/>
      <c r="AY33" s="4"/>
    </row>
    <row r="34" spans="2:51" s="13" customFormat="1" ht="21.75">
      <c r="B34" s="13" t="s">
        <v>82</v>
      </c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O34" s="175"/>
      <c r="Q34" s="139"/>
      <c r="R34" s="139"/>
      <c r="S34" s="175"/>
      <c r="W34" s="175"/>
      <c r="AA34" s="175"/>
      <c r="AE34" s="175"/>
      <c r="AI34" s="175"/>
      <c r="AM34" s="175"/>
      <c r="AQ34" s="175"/>
      <c r="AU34" s="175"/>
      <c r="AY34" s="175"/>
    </row>
    <row r="35" spans="4:47" s="69" customFormat="1" ht="44.25" customHeight="1">
      <c r="D35" s="224"/>
      <c r="E35" s="225"/>
      <c r="F35" s="225"/>
      <c r="G35" s="226"/>
      <c r="H35" s="70" t="s">
        <v>101</v>
      </c>
      <c r="I35" s="71" t="s">
        <v>100</v>
      </c>
      <c r="J35" s="72"/>
      <c r="K35" s="72"/>
      <c r="L35" s="72"/>
      <c r="O35" s="72"/>
      <c r="Q35" s="73"/>
      <c r="R35" s="73"/>
      <c r="S35" s="72"/>
      <c r="AI35" s="72"/>
      <c r="AM35" s="72"/>
      <c r="AQ35" s="72"/>
      <c r="AU35" s="72"/>
    </row>
    <row r="36" spans="3:47" ht="20.25">
      <c r="C36" s="42"/>
      <c r="D36" s="65" t="s">
        <v>12</v>
      </c>
      <c r="E36" s="66"/>
      <c r="F36" s="67"/>
      <c r="G36" s="64"/>
      <c r="H36" s="60">
        <f>H15</f>
        <v>68600</v>
      </c>
      <c r="I36" s="61">
        <f>_xlfn.IFERROR(H36/$H$36,"")</f>
        <v>1</v>
      </c>
      <c r="J36" s="4"/>
      <c r="K36" s="4"/>
      <c r="L36" s="20"/>
      <c r="O36" s="4"/>
      <c r="S36" s="4"/>
      <c r="AI36" s="4"/>
      <c r="AM36" s="4"/>
      <c r="AQ36" s="4"/>
      <c r="AU36" s="4"/>
    </row>
    <row r="37" spans="3:47" ht="20.25">
      <c r="C37" s="42"/>
      <c r="D37" s="65" t="s">
        <v>13</v>
      </c>
      <c r="E37" s="66"/>
      <c r="F37" s="67"/>
      <c r="G37" s="64" t="s">
        <v>138</v>
      </c>
      <c r="H37" s="60">
        <f>I15</f>
        <v>9680</v>
      </c>
      <c r="I37" s="61">
        <f>_xlfn.IFERROR(H37/$H$36,"")</f>
        <v>0.14110787172011663</v>
      </c>
      <c r="J37" s="4"/>
      <c r="K37" s="4"/>
      <c r="L37" s="20"/>
      <c r="O37" s="4"/>
      <c r="S37" s="4"/>
      <c r="AI37" s="4"/>
      <c r="AM37" s="4"/>
      <c r="AQ37" s="4"/>
      <c r="AU37" s="4"/>
    </row>
    <row r="38" spans="3:47" ht="20.25">
      <c r="C38" s="42"/>
      <c r="D38" s="65" t="s">
        <v>14</v>
      </c>
      <c r="E38" s="66"/>
      <c r="F38" s="67"/>
      <c r="G38" s="64"/>
      <c r="H38" s="74">
        <f>J14</f>
        <v>10055.696</v>
      </c>
      <c r="I38" s="61">
        <f>_xlfn.IFERROR(H38/$H$36,"")</f>
        <v>0.14658448979591837</v>
      </c>
      <c r="J38" s="4"/>
      <c r="K38" s="4"/>
      <c r="L38" s="20"/>
      <c r="O38" s="4"/>
      <c r="P38" s="4"/>
      <c r="Q38" s="4"/>
      <c r="S38" s="4"/>
      <c r="AI38" s="4"/>
      <c r="AM38" s="4"/>
      <c r="AQ38" s="4"/>
      <c r="AU38" s="4"/>
    </row>
    <row r="39" spans="3:47" ht="20.25">
      <c r="C39" s="42"/>
      <c r="D39" s="66" t="s">
        <v>15</v>
      </c>
      <c r="E39" s="68"/>
      <c r="F39" s="67"/>
      <c r="G39" s="64" t="s">
        <v>139</v>
      </c>
      <c r="H39" s="62">
        <f>_xlfn.IFERROR(H37*(1-$H$40),"")</f>
        <v>6292</v>
      </c>
      <c r="I39" s="61">
        <f>_xlfn.IFERROR(H39/$H$36,"")</f>
        <v>0.0917201166180758</v>
      </c>
      <c r="J39" s="4"/>
      <c r="K39" s="4"/>
      <c r="L39" s="20"/>
      <c r="O39" s="4"/>
      <c r="S39" s="4"/>
      <c r="AI39" s="4"/>
      <c r="AM39" s="4"/>
      <c r="AQ39" s="4"/>
      <c r="AU39" s="4"/>
    </row>
    <row r="40" spans="3:47" ht="20.25">
      <c r="C40" s="42"/>
      <c r="D40" s="65" t="s">
        <v>51</v>
      </c>
      <c r="E40" s="66"/>
      <c r="F40" s="67"/>
      <c r="G40" s="64" t="s">
        <v>140</v>
      </c>
      <c r="H40" s="63">
        <v>0.35</v>
      </c>
      <c r="I40" s="189"/>
      <c r="J40" s="4"/>
      <c r="K40" s="4"/>
      <c r="L40" s="4"/>
      <c r="O40" s="4"/>
      <c r="S40" s="4"/>
      <c r="AI40" s="4"/>
      <c r="AM40" s="4"/>
      <c r="AQ40" s="4"/>
      <c r="AU40" s="4"/>
    </row>
    <row r="41" spans="4:47" ht="20.25">
      <c r="D41" s="1" t="s">
        <v>145</v>
      </c>
      <c r="F41" s="5"/>
      <c r="G41" s="4"/>
      <c r="H41" s="4"/>
      <c r="I41" s="4"/>
      <c r="J41" s="4"/>
      <c r="K41" s="4"/>
      <c r="L41" s="4"/>
      <c r="O41" s="4"/>
      <c r="S41" s="4"/>
      <c r="AI41" s="4"/>
      <c r="AM41" s="4"/>
      <c r="AQ41" s="4"/>
      <c r="AU41" s="4"/>
    </row>
    <row r="42" spans="4:12" ht="20.25">
      <c r="D42" s="227" t="s">
        <v>22</v>
      </c>
      <c r="E42" s="228"/>
      <c r="F42" s="228"/>
      <c r="G42" s="229"/>
      <c r="H42" s="79"/>
      <c r="L42" s="4"/>
    </row>
    <row r="43" spans="4:9" ht="20.25">
      <c r="D43" s="80" t="s">
        <v>20</v>
      </c>
      <c r="E43" s="80"/>
      <c r="F43" s="80"/>
      <c r="G43" s="80"/>
      <c r="H43" s="79">
        <f>IF(H31="","",H31+H32)</f>
      </c>
      <c r="I43" s="1" t="s">
        <v>19</v>
      </c>
    </row>
    <row r="45" spans="2:47" ht="20.25">
      <c r="B45" s="1" t="s">
        <v>0</v>
      </c>
      <c r="F45" s="5"/>
      <c r="G45" s="4"/>
      <c r="H45" s="4"/>
      <c r="I45" s="4"/>
      <c r="J45" s="4"/>
      <c r="K45" s="4"/>
      <c r="L45" s="4"/>
      <c r="O45" s="4"/>
      <c r="S45" s="4"/>
      <c r="AI45" s="4"/>
      <c r="AM45" s="4"/>
      <c r="AQ45" s="4"/>
      <c r="AU45" s="4"/>
    </row>
    <row r="46" spans="3:47" s="43" customFormat="1" ht="20.25">
      <c r="C46" s="52" t="s">
        <v>3</v>
      </c>
      <c r="D46" s="150" t="s">
        <v>2</v>
      </c>
      <c r="E46" s="150"/>
      <c r="F46" s="154"/>
      <c r="G46" s="154"/>
      <c r="H46" s="152">
        <f>_xlfn.IFERROR(H47*(1-H40),"")</f>
        <v>0.012411103567871784</v>
      </c>
      <c r="I46" s="42" t="s">
        <v>98</v>
      </c>
      <c r="J46" s="44"/>
      <c r="K46" s="44"/>
      <c r="L46" s="44"/>
      <c r="O46" s="44"/>
      <c r="Q46" s="45"/>
      <c r="R46" s="45"/>
      <c r="S46" s="44"/>
      <c r="AI46" s="44"/>
      <c r="AM46" s="44"/>
      <c r="AQ46" s="44"/>
      <c r="AU46" s="44"/>
    </row>
    <row r="47" spans="3:47" ht="20.25">
      <c r="C47" s="51"/>
      <c r="D47" s="217" t="s">
        <v>1</v>
      </c>
      <c r="E47" s="218"/>
      <c r="F47" s="218"/>
      <c r="G47" s="219"/>
      <c r="H47" s="149">
        <f>_xlfn.IFERROR(SUM(H48:H49)/SUM(H50:H51),"")</f>
        <v>0.019094005489033512</v>
      </c>
      <c r="I47" s="4"/>
      <c r="J47" s="4"/>
      <c r="K47" s="4"/>
      <c r="L47" s="4"/>
      <c r="O47" s="4"/>
      <c r="S47" s="4"/>
      <c r="AI47" s="4"/>
      <c r="AM47" s="4"/>
      <c r="AQ47" s="4"/>
      <c r="AU47" s="4"/>
    </row>
    <row r="48" spans="3:51" ht="20.25">
      <c r="C48" s="51"/>
      <c r="D48" s="220"/>
      <c r="E48" s="38" t="s">
        <v>96</v>
      </c>
      <c r="F48" s="39"/>
      <c r="G48" s="40"/>
      <c r="H48" s="161">
        <v>65.488</v>
      </c>
      <c r="I48" s="4"/>
      <c r="J48" s="4"/>
      <c r="K48" s="4"/>
      <c r="L48" s="4"/>
      <c r="O48" s="4"/>
      <c r="S48" s="4"/>
      <c r="W48" s="4"/>
      <c r="AA48" s="4"/>
      <c r="AE48" s="4"/>
      <c r="AI48" s="4"/>
      <c r="AM48" s="4"/>
      <c r="AQ48" s="4"/>
      <c r="AU48" s="4"/>
      <c r="AY48" s="4"/>
    </row>
    <row r="49" spans="3:51" ht="20.25">
      <c r="C49" s="51"/>
      <c r="D49" s="220"/>
      <c r="E49" s="38" t="s">
        <v>97</v>
      </c>
      <c r="F49" s="39"/>
      <c r="G49" s="40"/>
      <c r="H49" s="161">
        <v>92.801</v>
      </c>
      <c r="I49" s="4"/>
      <c r="J49" s="4"/>
      <c r="K49" s="4"/>
      <c r="L49" s="4"/>
      <c r="O49" s="4"/>
      <c r="S49" s="4"/>
      <c r="W49" s="4"/>
      <c r="AA49" s="4"/>
      <c r="AE49" s="4"/>
      <c r="AI49" s="4"/>
      <c r="AM49" s="4"/>
      <c r="AQ49" s="4"/>
      <c r="AU49" s="4"/>
      <c r="AY49" s="4"/>
    </row>
    <row r="50" spans="3:51" ht="20.25">
      <c r="C50" s="51"/>
      <c r="D50" s="220"/>
      <c r="E50" s="38" t="s">
        <v>94</v>
      </c>
      <c r="F50" s="39"/>
      <c r="G50" s="40"/>
      <c r="H50" s="164">
        <f>IF(H22="","",H22)</f>
        <v>2794.39</v>
      </c>
      <c r="I50" s="4"/>
      <c r="J50" s="4"/>
      <c r="K50" s="4"/>
      <c r="L50" s="4"/>
      <c r="O50" s="4"/>
      <c r="S50" s="4"/>
      <c r="W50" s="4"/>
      <c r="AA50" s="4"/>
      <c r="AE50" s="4"/>
      <c r="AI50" s="4"/>
      <c r="AM50" s="4"/>
      <c r="AQ50" s="4"/>
      <c r="AU50" s="4"/>
      <c r="AY50" s="4"/>
    </row>
    <row r="51" spans="3:51" ht="20.25">
      <c r="C51" s="51"/>
      <c r="D51" s="221"/>
      <c r="E51" s="38" t="s">
        <v>95</v>
      </c>
      <c r="F51" s="39"/>
      <c r="G51" s="40"/>
      <c r="H51" s="161">
        <v>5495.594</v>
      </c>
      <c r="I51" s="4"/>
      <c r="J51" s="4"/>
      <c r="K51" s="4"/>
      <c r="L51" s="4"/>
      <c r="O51" s="4"/>
      <c r="S51" s="4"/>
      <c r="W51" s="4"/>
      <c r="AA51" s="4"/>
      <c r="AE51" s="4"/>
      <c r="AI51" s="4"/>
      <c r="AM51" s="4"/>
      <c r="AQ51" s="4"/>
      <c r="AU51" s="4"/>
      <c r="AY51" s="4"/>
    </row>
    <row r="52" spans="3:51" ht="20.25">
      <c r="C52" s="51"/>
      <c r="F52" s="5"/>
      <c r="G52" s="4"/>
      <c r="H52" s="4"/>
      <c r="I52" s="4"/>
      <c r="J52" s="4"/>
      <c r="K52" s="4"/>
      <c r="L52" s="4"/>
      <c r="O52" s="4"/>
      <c r="S52" s="4"/>
      <c r="W52" s="4"/>
      <c r="AA52" s="4"/>
      <c r="AE52" s="4"/>
      <c r="AI52" s="4"/>
      <c r="AM52" s="4"/>
      <c r="AQ52" s="4"/>
      <c r="AU52" s="4"/>
      <c r="AY52" s="4"/>
    </row>
    <row r="53" spans="3:51" ht="20.25">
      <c r="C53" s="51" t="s">
        <v>4</v>
      </c>
      <c r="D53" s="150" t="s">
        <v>5</v>
      </c>
      <c r="E53" s="150"/>
      <c r="F53" s="151"/>
      <c r="G53" s="151"/>
      <c r="H53" s="152">
        <f>H54+H56*H55+H57</f>
        <v>0.07680000000000001</v>
      </c>
      <c r="I53" s="4"/>
      <c r="J53" s="4"/>
      <c r="K53" s="4"/>
      <c r="L53" s="4"/>
      <c r="O53" s="4"/>
      <c r="S53" s="4"/>
      <c r="W53" s="4"/>
      <c r="AA53" s="4"/>
      <c r="AE53" s="4"/>
      <c r="AI53" s="4"/>
      <c r="AM53" s="4"/>
      <c r="AQ53" s="4"/>
      <c r="AU53" s="4"/>
      <c r="AY53" s="4"/>
    </row>
    <row r="54" spans="3:51" ht="20.25">
      <c r="C54" s="51"/>
      <c r="D54" s="53" t="s">
        <v>7</v>
      </c>
      <c r="E54" s="53"/>
      <c r="F54" s="162"/>
      <c r="G54" s="163"/>
      <c r="H54" s="54">
        <v>0.0055</v>
      </c>
      <c r="I54" s="4" t="s">
        <v>16</v>
      </c>
      <c r="J54" s="4"/>
      <c r="K54" s="4"/>
      <c r="L54" s="4"/>
      <c r="O54" s="4"/>
      <c r="S54" s="4"/>
      <c r="W54" s="4"/>
      <c r="AA54" s="4"/>
      <c r="AE54" s="4"/>
      <c r="AI54" s="4"/>
      <c r="AM54" s="4"/>
      <c r="AQ54" s="4"/>
      <c r="AU54" s="4"/>
      <c r="AY54" s="4"/>
    </row>
    <row r="55" spans="3:51" ht="20.25">
      <c r="C55" s="51"/>
      <c r="D55" s="199" t="s">
        <v>6</v>
      </c>
      <c r="E55" s="200"/>
      <c r="F55" s="200"/>
      <c r="G55" s="201"/>
      <c r="H55" s="55">
        <v>0.05</v>
      </c>
      <c r="I55" s="4"/>
      <c r="J55" s="4"/>
      <c r="K55" s="4"/>
      <c r="L55" s="4"/>
      <c r="O55" s="4"/>
      <c r="S55" s="4"/>
      <c r="W55" s="4"/>
      <c r="AA55" s="4"/>
      <c r="AE55" s="4"/>
      <c r="AI55" s="4"/>
      <c r="AM55" s="4"/>
      <c r="AQ55" s="4"/>
      <c r="AU55" s="4"/>
      <c r="AY55" s="4"/>
    </row>
    <row r="56" spans="3:51" ht="20.25">
      <c r="C56" s="51"/>
      <c r="D56" s="199" t="s">
        <v>8</v>
      </c>
      <c r="E56" s="200"/>
      <c r="F56" s="200"/>
      <c r="G56" s="201"/>
      <c r="H56" s="191">
        <v>0.826</v>
      </c>
      <c r="I56" s="4" t="s">
        <v>148</v>
      </c>
      <c r="J56" s="4"/>
      <c r="K56" s="4"/>
      <c r="L56" s="4"/>
      <c r="O56" s="4"/>
      <c r="S56" s="4"/>
      <c r="W56" s="4"/>
      <c r="AA56" s="4"/>
      <c r="AE56" s="4"/>
      <c r="AI56" s="4"/>
      <c r="AM56" s="4"/>
      <c r="AQ56" s="4"/>
      <c r="AU56" s="4"/>
      <c r="AY56" s="4"/>
    </row>
    <row r="57" spans="3:51" ht="20.25">
      <c r="C57" s="51"/>
      <c r="D57" s="53" t="s">
        <v>9</v>
      </c>
      <c r="E57" s="53"/>
      <c r="F57" s="39"/>
      <c r="G57" s="40"/>
      <c r="H57" s="54">
        <v>0.03</v>
      </c>
      <c r="I57" s="1" t="s">
        <v>125</v>
      </c>
      <c r="J57" s="4"/>
      <c r="K57" s="4"/>
      <c r="L57" s="4"/>
      <c r="O57" s="4"/>
      <c r="S57" s="4"/>
      <c r="W57" s="4"/>
      <c r="AA57" s="4"/>
      <c r="AE57" s="4"/>
      <c r="AI57" s="4"/>
      <c r="AM57" s="4"/>
      <c r="AQ57" s="4"/>
      <c r="AU57" s="4"/>
      <c r="AY57" s="4"/>
    </row>
    <row r="58" ht="21.75" customHeight="1">
      <c r="C58" s="51"/>
    </row>
    <row r="59" spans="3:8" ht="20.25">
      <c r="C59" s="51" t="s">
        <v>99</v>
      </c>
      <c r="D59" s="150" t="s">
        <v>11</v>
      </c>
      <c r="E59" s="150"/>
      <c r="F59" s="150"/>
      <c r="G59" s="150"/>
      <c r="H59" s="153">
        <f>_xlfn.IFERROR(H46*I60+H53*I61,"")</f>
        <v>0.07680000000000001</v>
      </c>
    </row>
    <row r="60" spans="3:10" ht="20.25">
      <c r="C60" s="51"/>
      <c r="D60" s="199" t="s">
        <v>10</v>
      </c>
      <c r="E60" s="200"/>
      <c r="F60" s="200"/>
      <c r="G60" s="201"/>
      <c r="H60" s="57">
        <f>IF(_xlfn.IFERROR(H50-H30,"")&lt;0,0,H50-H30)</f>
        <v>0</v>
      </c>
      <c r="I60" s="31">
        <f>_xlfn.IFERROR(H60/SUM($H$60:$H$61),"")</f>
        <v>0</v>
      </c>
      <c r="J60" s="1" t="s">
        <v>142</v>
      </c>
    </row>
    <row r="61" spans="3:10" ht="20.25">
      <c r="C61" s="51"/>
      <c r="D61" s="199" t="s">
        <v>92</v>
      </c>
      <c r="E61" s="200"/>
      <c r="F61" s="200"/>
      <c r="G61" s="201"/>
      <c r="H61" s="57">
        <f>H21</f>
        <v>59777.114778</v>
      </c>
      <c r="I61" s="31">
        <f>_xlfn.IFERROR(H61/SUM($H$60:$H$61),"")</f>
        <v>1</v>
      </c>
      <c r="J61" s="1" t="s">
        <v>93</v>
      </c>
    </row>
    <row r="62" ht="17.25">
      <c r="C62" s="1"/>
    </row>
    <row r="63" ht="17.25">
      <c r="C63" s="1"/>
    </row>
    <row r="64" ht="17.25">
      <c r="C64" s="1"/>
    </row>
    <row r="65" ht="17.25">
      <c r="C65" s="1"/>
    </row>
    <row r="66" ht="17.25">
      <c r="C66" s="1"/>
    </row>
    <row r="73" spans="3:51" s="13" customFormat="1" ht="21.75">
      <c r="C73" s="51"/>
      <c r="D73" s="1"/>
      <c r="E73" s="1"/>
      <c r="F73" s="1"/>
      <c r="G73" s="1"/>
      <c r="H73" s="1"/>
      <c r="I73" s="1"/>
      <c r="J73" s="1"/>
      <c r="K73" s="1"/>
      <c r="L73" s="1"/>
      <c r="O73" s="1"/>
      <c r="S73" s="1"/>
      <c r="W73" s="1"/>
      <c r="AA73" s="1"/>
      <c r="AE73" s="1"/>
      <c r="AI73" s="1"/>
      <c r="AM73" s="1"/>
      <c r="AQ73" s="1"/>
      <c r="AU73" s="1"/>
      <c r="AY73" s="1"/>
    </row>
    <row r="74" spans="4:51" ht="21.75">
      <c r="D74" s="13"/>
      <c r="E74" s="13"/>
      <c r="F74" s="13"/>
      <c r="G74" s="13"/>
      <c r="H74" s="13"/>
      <c r="I74" s="13"/>
      <c r="J74" s="13"/>
      <c r="K74" s="13"/>
      <c r="L74" s="13"/>
      <c r="O74" s="13"/>
      <c r="S74" s="13"/>
      <c r="W74" s="13"/>
      <c r="AA74" s="13"/>
      <c r="AE74" s="13"/>
      <c r="AI74" s="13"/>
      <c r="AM74" s="13"/>
      <c r="AQ74" s="13"/>
      <c r="AU74" s="13"/>
      <c r="AY74" s="13"/>
    </row>
    <row r="89" ht="28.5" customHeight="1"/>
  </sheetData>
  <sheetProtection/>
  <mergeCells count="201">
    <mergeCell ref="D61:G61"/>
    <mergeCell ref="D42:G42"/>
    <mergeCell ref="D47:G47"/>
    <mergeCell ref="D48:D51"/>
    <mergeCell ref="D55:G55"/>
    <mergeCell ref="D56:G56"/>
    <mergeCell ref="D60:G60"/>
    <mergeCell ref="AR32:AU32"/>
    <mergeCell ref="AV32:AY32"/>
    <mergeCell ref="D35:G35"/>
    <mergeCell ref="H32:K32"/>
    <mergeCell ref="L32:O32"/>
    <mergeCell ref="P32:S32"/>
    <mergeCell ref="T32:W32"/>
    <mergeCell ref="X32:AA32"/>
    <mergeCell ref="AB32:AE32"/>
    <mergeCell ref="AB31:AE31"/>
    <mergeCell ref="AF31:AI31"/>
    <mergeCell ref="AJ31:AM31"/>
    <mergeCell ref="AN31:AQ31"/>
    <mergeCell ref="AF32:AI32"/>
    <mergeCell ref="AJ32:AM32"/>
    <mergeCell ref="AN32:AQ32"/>
    <mergeCell ref="AR31:AU31"/>
    <mergeCell ref="AV31:AY31"/>
    <mergeCell ref="AF30:AI30"/>
    <mergeCell ref="AJ30:AM30"/>
    <mergeCell ref="AN30:AQ30"/>
    <mergeCell ref="AR30:AU30"/>
    <mergeCell ref="AV30:AY30"/>
    <mergeCell ref="H31:K31"/>
    <mergeCell ref="L31:O31"/>
    <mergeCell ref="P31:S31"/>
    <mergeCell ref="T31:W31"/>
    <mergeCell ref="X31:AA31"/>
    <mergeCell ref="H30:K30"/>
    <mergeCell ref="L30:O30"/>
    <mergeCell ref="P30:S30"/>
    <mergeCell ref="T30:W30"/>
    <mergeCell ref="X30:AA30"/>
    <mergeCell ref="AB30:AE30"/>
    <mergeCell ref="AB29:AE29"/>
    <mergeCell ref="AF29:AI29"/>
    <mergeCell ref="AJ29:AM29"/>
    <mergeCell ref="AN29:AQ29"/>
    <mergeCell ref="AR29:AU29"/>
    <mergeCell ref="AV29:AY29"/>
    <mergeCell ref="AF28:AI28"/>
    <mergeCell ref="AJ28:AM28"/>
    <mergeCell ref="AN28:AQ28"/>
    <mergeCell ref="AR28:AU28"/>
    <mergeCell ref="AV28:AY28"/>
    <mergeCell ref="H29:K29"/>
    <mergeCell ref="L29:O29"/>
    <mergeCell ref="P29:S29"/>
    <mergeCell ref="T29:W29"/>
    <mergeCell ref="X29:AA29"/>
    <mergeCell ref="H28:K28"/>
    <mergeCell ref="L28:O28"/>
    <mergeCell ref="P28:S28"/>
    <mergeCell ref="T28:W28"/>
    <mergeCell ref="X28:AA28"/>
    <mergeCell ref="AB28:AE28"/>
    <mergeCell ref="AB26:AE26"/>
    <mergeCell ref="AF26:AI26"/>
    <mergeCell ref="AJ26:AM26"/>
    <mergeCell ref="AN26:AQ26"/>
    <mergeCell ref="AR26:AU26"/>
    <mergeCell ref="AV26:AY26"/>
    <mergeCell ref="AF25:AI25"/>
    <mergeCell ref="AJ25:AM25"/>
    <mergeCell ref="AN25:AQ25"/>
    <mergeCell ref="AR25:AU25"/>
    <mergeCell ref="AV25:AY25"/>
    <mergeCell ref="H26:K26"/>
    <mergeCell ref="L26:O26"/>
    <mergeCell ref="P26:S26"/>
    <mergeCell ref="T26:W26"/>
    <mergeCell ref="X26:AA26"/>
    <mergeCell ref="H25:K25"/>
    <mergeCell ref="L25:O25"/>
    <mergeCell ref="P25:S25"/>
    <mergeCell ref="T25:W25"/>
    <mergeCell ref="X25:AA25"/>
    <mergeCell ref="AB25:AE25"/>
    <mergeCell ref="AB24:AE24"/>
    <mergeCell ref="AF24:AI24"/>
    <mergeCell ref="AJ24:AM24"/>
    <mergeCell ref="AN24:AQ24"/>
    <mergeCell ref="AR24:AU24"/>
    <mergeCell ref="AV24:AY24"/>
    <mergeCell ref="AF23:AI23"/>
    <mergeCell ref="AJ23:AM23"/>
    <mergeCell ref="AN23:AQ23"/>
    <mergeCell ref="AR23:AU23"/>
    <mergeCell ref="AV23:AY23"/>
    <mergeCell ref="H24:K24"/>
    <mergeCell ref="L24:O24"/>
    <mergeCell ref="P24:S24"/>
    <mergeCell ref="T24:W24"/>
    <mergeCell ref="X24:AA24"/>
    <mergeCell ref="H23:K23"/>
    <mergeCell ref="L23:O23"/>
    <mergeCell ref="P23:S23"/>
    <mergeCell ref="T23:W23"/>
    <mergeCell ref="X23:AA23"/>
    <mergeCell ref="AB23:AE23"/>
    <mergeCell ref="AB22:AE22"/>
    <mergeCell ref="AF22:AI22"/>
    <mergeCell ref="AJ22:AM22"/>
    <mergeCell ref="AN22:AQ22"/>
    <mergeCell ref="AR22:AU22"/>
    <mergeCell ref="AV22:AY22"/>
    <mergeCell ref="AF21:AI21"/>
    <mergeCell ref="AJ21:AM21"/>
    <mergeCell ref="AN21:AQ21"/>
    <mergeCell ref="AR21:AU21"/>
    <mergeCell ref="AV21:AY21"/>
    <mergeCell ref="H22:K22"/>
    <mergeCell ref="L22:O22"/>
    <mergeCell ref="P22:S22"/>
    <mergeCell ref="T22:W22"/>
    <mergeCell ref="X22:AA22"/>
    <mergeCell ref="AJ20:AM20"/>
    <mergeCell ref="AN20:AQ20"/>
    <mergeCell ref="AR20:AU20"/>
    <mergeCell ref="AV20:AY20"/>
    <mergeCell ref="H21:K21"/>
    <mergeCell ref="L21:O21"/>
    <mergeCell ref="P21:S21"/>
    <mergeCell ref="T21:W21"/>
    <mergeCell ref="X21:AA21"/>
    <mergeCell ref="AB21:AE21"/>
    <mergeCell ref="AN19:AQ19"/>
    <mergeCell ref="AR19:AU19"/>
    <mergeCell ref="AV19:AY19"/>
    <mergeCell ref="H20:K20"/>
    <mergeCell ref="L20:O20"/>
    <mergeCell ref="P20:S20"/>
    <mergeCell ref="T20:W20"/>
    <mergeCell ref="X20:AA20"/>
    <mergeCell ref="AB20:AE20"/>
    <mergeCell ref="AF20:AI20"/>
    <mergeCell ref="P19:S19"/>
    <mergeCell ref="T19:W19"/>
    <mergeCell ref="X19:AA19"/>
    <mergeCell ref="AB19:AE19"/>
    <mergeCell ref="AF19:AI19"/>
    <mergeCell ref="AJ19:AM19"/>
    <mergeCell ref="D13:E13"/>
    <mergeCell ref="D14:E14"/>
    <mergeCell ref="D15:E15"/>
    <mergeCell ref="D16:E16"/>
    <mergeCell ref="H19:K19"/>
    <mergeCell ref="L19:O19"/>
    <mergeCell ref="AR10:AU10"/>
    <mergeCell ref="AV10:AY10"/>
    <mergeCell ref="D12:E12"/>
    <mergeCell ref="H10:K10"/>
    <mergeCell ref="L10:O10"/>
    <mergeCell ref="P10:S10"/>
    <mergeCell ref="T10:W10"/>
    <mergeCell ref="X10:AA10"/>
    <mergeCell ref="AB10:AE10"/>
    <mergeCell ref="AB7:AE7"/>
    <mergeCell ref="AF7:AI7"/>
    <mergeCell ref="AJ7:AM7"/>
    <mergeCell ref="AN7:AQ7"/>
    <mergeCell ref="AF10:AI10"/>
    <mergeCell ref="AJ10:AM10"/>
    <mergeCell ref="AN10:AQ10"/>
    <mergeCell ref="AR7:AU7"/>
    <mergeCell ref="AV7:AY7"/>
    <mergeCell ref="AF6:AI6"/>
    <mergeCell ref="AJ6:AM6"/>
    <mergeCell ref="AN6:AQ6"/>
    <mergeCell ref="AR6:AU6"/>
    <mergeCell ref="AV6:AY6"/>
    <mergeCell ref="H7:K7"/>
    <mergeCell ref="L7:O7"/>
    <mergeCell ref="P7:S7"/>
    <mergeCell ref="T7:W7"/>
    <mergeCell ref="X7:AA7"/>
    <mergeCell ref="H6:K6"/>
    <mergeCell ref="L6:O6"/>
    <mergeCell ref="P6:S6"/>
    <mergeCell ref="T6:W6"/>
    <mergeCell ref="X6:AA6"/>
    <mergeCell ref="AB6:AE6"/>
    <mergeCell ref="AB5:AE5"/>
    <mergeCell ref="AF5:AI5"/>
    <mergeCell ref="AJ5:AM5"/>
    <mergeCell ref="AN5:AQ5"/>
    <mergeCell ref="AR5:AU5"/>
    <mergeCell ref="AV5:AY5"/>
    <mergeCell ref="B1:O1"/>
    <mergeCell ref="H5:K5"/>
    <mergeCell ref="L5:O5"/>
    <mergeCell ref="P5:S5"/>
    <mergeCell ref="T5:W5"/>
    <mergeCell ref="X5:AA5"/>
  </mergeCells>
  <printOptions/>
  <pageMargins left="0.2362204724409449" right="0.2362204724409449" top="0.7480314960629921" bottom="0.7480314960629921" header="0.31496062992125984" footer="0.31496062992125984"/>
  <pageSetup fitToWidth="0" fitToHeight="1" orientation="landscape" paperSize="9" scale="39" r:id="rId2"/>
  <colBreaks count="1" manualBreakCount="1">
    <brk id="27" max="60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43"/>
  <sheetViews>
    <sheetView zoomScale="80" zoomScaleNormal="80" zoomScalePageLayoutView="0" workbookViewId="0" topLeftCell="A34">
      <selection activeCell="K71" sqref="K71"/>
    </sheetView>
  </sheetViews>
  <sheetFormatPr defaultColWidth="9.00390625" defaultRowHeight="15" outlineLevelRow="1"/>
  <cols>
    <col min="1" max="1" width="4.28125" style="24" customWidth="1"/>
    <col min="2" max="2" width="3.421875" style="84" customWidth="1"/>
    <col min="3" max="3" width="12.57421875" style="24" customWidth="1"/>
    <col min="4" max="4" width="17.00390625" style="24" customWidth="1"/>
    <col min="5" max="5" width="15.00390625" style="24" customWidth="1"/>
    <col min="6" max="16" width="12.57421875" style="24" customWidth="1"/>
    <col min="17" max="16384" width="9.00390625" style="24" customWidth="1"/>
  </cols>
  <sheetData>
    <row r="1" spans="1:2" s="134" customFormat="1" ht="21.75">
      <c r="A1" s="13" t="s">
        <v>83</v>
      </c>
      <c r="B1" s="133"/>
    </row>
    <row r="2" spans="1:11" ht="30.75" customHeight="1">
      <c r="A2" s="19"/>
      <c r="B2" s="224"/>
      <c r="C2" s="225"/>
      <c r="D2" s="225"/>
      <c r="E2" s="225"/>
      <c r="F2" s="277" t="s">
        <v>121</v>
      </c>
      <c r="G2" s="271"/>
      <c r="H2" s="278"/>
      <c r="I2" s="270" t="s">
        <v>116</v>
      </c>
      <c r="J2" s="271"/>
      <c r="K2" s="271"/>
    </row>
    <row r="3" spans="2:11" ht="30.75" customHeight="1">
      <c r="B3" s="275" t="s">
        <v>84</v>
      </c>
      <c r="C3" s="275"/>
      <c r="D3" s="276" t="s">
        <v>113</v>
      </c>
      <c r="E3" s="276"/>
      <c r="F3" s="166">
        <f>E25</f>
        <v>69653.46571624147</v>
      </c>
      <c r="G3" s="167" t="s">
        <v>115</v>
      </c>
      <c r="H3" s="168">
        <f>G25</f>
        <v>147446.32684979416</v>
      </c>
      <c r="I3" s="166">
        <f>E27</f>
        <v>1531.0985532012571</v>
      </c>
      <c r="J3" s="167" t="s">
        <v>115</v>
      </c>
      <c r="K3" s="168">
        <f>G27</f>
        <v>3241.114500091832</v>
      </c>
    </row>
    <row r="4" spans="2:11" ht="30.75" customHeight="1">
      <c r="B4" s="275"/>
      <c r="C4" s="275"/>
      <c r="D4" s="276" t="s">
        <v>114</v>
      </c>
      <c r="E4" s="276"/>
      <c r="F4" s="166">
        <f>_xlfn.IFERROR(K25,"")</f>
        <v>103502.92218395318</v>
      </c>
      <c r="G4" s="167" t="s">
        <v>115</v>
      </c>
      <c r="H4" s="168">
        <f>_xlfn.IFERROR(M25,"")</f>
        <v>370505.07208129804</v>
      </c>
      <c r="I4" s="166">
        <f>_xlfn.IFERROR(K27,"")</f>
        <v>2275.165675941391</v>
      </c>
      <c r="J4" s="167" t="s">
        <v>115</v>
      </c>
      <c r="K4" s="168">
        <f>_xlfn.IFERROR(M27,"")</f>
        <v>8144.3152036170295</v>
      </c>
    </row>
    <row r="5" spans="2:11" ht="30.75" customHeight="1">
      <c r="B5" s="272" t="s">
        <v>85</v>
      </c>
      <c r="C5" s="273"/>
      <c r="D5" s="273"/>
      <c r="E5" s="274"/>
      <c r="F5" s="166">
        <f>MIN(E80:G80)</f>
        <v>79344.26229508196</v>
      </c>
      <c r="G5" s="167" t="s">
        <v>115</v>
      </c>
      <c r="H5" s="168">
        <f>MAX(E80:G80)</f>
        <v>84683.71467025571</v>
      </c>
      <c r="I5" s="166">
        <f>MIN(E81:G81)</f>
        <v>1744.118314223294</v>
      </c>
      <c r="J5" s="167" t="s">
        <v>115</v>
      </c>
      <c r="K5" s="168">
        <f>MAX(E81:G81)</f>
        <v>1861.4883219099218</v>
      </c>
    </row>
    <row r="6" spans="2:13" ht="17.25">
      <c r="B6" s="84" t="s">
        <v>122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</row>
    <row r="7" spans="3:13" ht="17.25"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</row>
    <row r="8" spans="1:2" s="134" customFormat="1" ht="21.75">
      <c r="A8" s="13" t="s">
        <v>86</v>
      </c>
      <c r="B8" s="133"/>
    </row>
    <row r="9" spans="1:2" s="134" customFormat="1" ht="21.75">
      <c r="A9" s="13"/>
      <c r="B9" s="13" t="s">
        <v>87</v>
      </c>
    </row>
    <row r="10" spans="3:31" ht="17.25">
      <c r="C10" s="1"/>
      <c r="D10" s="1"/>
      <c r="E10" s="266" t="s">
        <v>35</v>
      </c>
      <c r="F10" s="267"/>
      <c r="G10" s="267"/>
      <c r="H10" s="267" t="s">
        <v>41</v>
      </c>
      <c r="I10" s="267"/>
      <c r="J10" s="267"/>
      <c r="K10" s="267" t="s">
        <v>39</v>
      </c>
      <c r="L10" s="267"/>
      <c r="M10" s="267"/>
      <c r="N10" s="27" t="s">
        <v>40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2:31" ht="17.25">
      <c r="B11" s="1"/>
      <c r="C11" s="1"/>
      <c r="D11" s="1"/>
      <c r="E11" s="28" t="s">
        <v>38</v>
      </c>
      <c r="F11" s="29" t="s">
        <v>36</v>
      </c>
      <c r="G11" s="29" t="s">
        <v>37</v>
      </c>
      <c r="H11" s="29" t="s">
        <v>38</v>
      </c>
      <c r="I11" s="29" t="s">
        <v>36</v>
      </c>
      <c r="J11" s="29" t="s">
        <v>37</v>
      </c>
      <c r="K11" s="29" t="s">
        <v>38</v>
      </c>
      <c r="L11" s="29" t="s">
        <v>36</v>
      </c>
      <c r="M11" s="29" t="s">
        <v>37</v>
      </c>
      <c r="N11" s="30" t="s">
        <v>38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2:31" ht="17.25">
      <c r="B12" s="1"/>
      <c r="C12" s="259" t="str">
        <f>IF('Inputシート ( メガネ事例)'!$H$7="","",'Inputシート ( メガネ事例)'!$H$7)</f>
        <v>メガネトップ</v>
      </c>
      <c r="D12" s="260"/>
      <c r="E12" s="111">
        <f>'Inputシート ( メガネ事例)'!J14</f>
        <v>10055.696</v>
      </c>
      <c r="F12" s="111">
        <f>'Inputシート ( メガネ事例)'!J15</f>
        <v>10905.573</v>
      </c>
      <c r="G12" s="111">
        <f>'Inputシート ( メガネ事例)'!J16</f>
        <v>10905.573</v>
      </c>
      <c r="H12" s="112">
        <f>IF('Inputシート ( メガネ事例)'!I14="","",'Inputシート ( メガネ事例)'!I14)</f>
        <v>8830.123</v>
      </c>
      <c r="I12" s="112">
        <f>IF('Inputシート ( メガネ事例)'!I15="","",'Inputシート ( メガネ事例)'!I15)</f>
        <v>9680</v>
      </c>
      <c r="J12" s="112">
        <f>IF('Inputシート ( メガネ事例)'!I16="","",'Inputシート ( メガネ事例)'!I16)</f>
        <v>9680</v>
      </c>
      <c r="K12" s="111">
        <f>IF('Inputシート ( メガネ事例)'!K14="","",'Inputシート ( メガネ事例)'!K14)</f>
        <v>4638.521</v>
      </c>
      <c r="L12" s="111">
        <f>IF('Inputシート ( メガネ事例)'!K15="","",'Inputシート ( メガネ事例)'!K15)</f>
        <v>5530</v>
      </c>
      <c r="M12" s="111">
        <f>IF('Inputシート ( メガネ事例)'!K16="","",'Inputシート ( メガネ事例)'!K16)</f>
        <v>5530</v>
      </c>
      <c r="N12" s="112">
        <f>IF('Inputシート ( メガネ事例)'!H25="","",'Inputシート ( メガネ事例)'!H25)</f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2:31" ht="30.75">
      <c r="B13" s="1"/>
      <c r="C13" s="1"/>
      <c r="D13" s="1"/>
      <c r="E13" s="268" t="s">
        <v>74</v>
      </c>
      <c r="F13" s="268"/>
      <c r="G13" s="268"/>
      <c r="H13" s="268" t="s">
        <v>74</v>
      </c>
      <c r="I13" s="268"/>
      <c r="J13" s="268"/>
      <c r="K13" s="268" t="s">
        <v>74</v>
      </c>
      <c r="L13" s="268"/>
      <c r="M13" s="268"/>
      <c r="N13" s="113" t="s">
        <v>74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2:31" ht="21.75">
      <c r="B14" s="1"/>
      <c r="C14" s="259" t="s">
        <v>75</v>
      </c>
      <c r="D14" s="260"/>
      <c r="E14" s="183">
        <f>F61</f>
        <v>6.56931929090154</v>
      </c>
      <c r="F14" s="184" t="s">
        <v>50</v>
      </c>
      <c r="G14" s="185">
        <f>H61</f>
        <v>13.190681392879968</v>
      </c>
      <c r="H14" s="186">
        <f>I61</f>
        <v>6.3626210844401605</v>
      </c>
      <c r="I14" s="187" t="s">
        <v>50</v>
      </c>
      <c r="J14" s="185">
        <f>K61</f>
        <v>19.83234935664519</v>
      </c>
      <c r="K14" s="187">
        <f>L61</f>
        <v>22.313776780131683</v>
      </c>
      <c r="L14" s="187" t="s">
        <v>50</v>
      </c>
      <c r="M14" s="187">
        <f>N61</f>
        <v>66.99910887546076</v>
      </c>
      <c r="N14" s="188">
        <f>O61</f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2:31" ht="30.75">
      <c r="B15" s="1"/>
      <c r="C15" s="1"/>
      <c r="D15" s="1"/>
      <c r="E15" s="268"/>
      <c r="F15" s="268"/>
      <c r="G15" s="268"/>
      <c r="H15" s="268"/>
      <c r="I15" s="268"/>
      <c r="J15" s="268"/>
      <c r="K15" s="268"/>
      <c r="L15" s="268"/>
      <c r="M15" s="268"/>
      <c r="N15" s="11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2:31" ht="17.25">
      <c r="B16" s="1"/>
      <c r="C16" s="1"/>
      <c r="D16" s="1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2:31" s="101" customFormat="1" ht="18.75">
      <c r="B17" s="69"/>
      <c r="C17" s="32" t="s">
        <v>42</v>
      </c>
      <c r="D17" s="33"/>
      <c r="E17" s="115">
        <f>IF(E12="","",MIN(E12:G12)*E14)</f>
        <v>66059.07771624146</v>
      </c>
      <c r="F17" s="116" t="s">
        <v>50</v>
      </c>
      <c r="G17" s="117">
        <f>IF(E12="","",MAX(E12:G12)*G14)</f>
        <v>143851.93884979418</v>
      </c>
      <c r="H17" s="115">
        <f>IF(H12="","",MIN(H12:J12)*H14)</f>
        <v>56182.726778000004</v>
      </c>
      <c r="I17" s="116" t="s">
        <v>50</v>
      </c>
      <c r="J17" s="117">
        <f>IF(H12="","",MAX(H12:J12)*J14)</f>
        <v>191977.1417723254</v>
      </c>
      <c r="K17" s="118"/>
      <c r="L17" s="118"/>
      <c r="M17" s="118"/>
      <c r="N17" s="118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</row>
    <row r="18" spans="2:31" ht="17.25">
      <c r="B18" s="1"/>
      <c r="C18" s="1"/>
      <c r="D18" s="1"/>
      <c r="E18" s="119"/>
      <c r="F18" s="119"/>
      <c r="G18" s="114"/>
      <c r="H18" s="114"/>
      <c r="I18" s="114"/>
      <c r="J18" s="114"/>
      <c r="K18" s="114"/>
      <c r="L18" s="114"/>
      <c r="M18" s="114"/>
      <c r="N18" s="11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2:31" ht="17.25">
      <c r="B19" s="1"/>
      <c r="C19" s="34" t="str">
        <f>"-）有利子負債"</f>
        <v>-）有利子負債</v>
      </c>
      <c r="D19" s="35"/>
      <c r="E19" s="265">
        <f>IF('Inputシート ( メガネ事例)'!H22="","",'Inputシート ( メガネ事例)'!H22)</f>
        <v>2794.39</v>
      </c>
      <c r="F19" s="265"/>
      <c r="G19" s="265"/>
      <c r="H19" s="265"/>
      <c r="I19" s="265"/>
      <c r="J19" s="265"/>
      <c r="K19" s="114"/>
      <c r="L19" s="114"/>
      <c r="M19" s="114"/>
      <c r="N19" s="114"/>
      <c r="O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2:31" ht="17.25">
      <c r="B20" s="1"/>
      <c r="C20" s="36" t="str">
        <f>"+）現金同等物"</f>
        <v>+）現金同等物</v>
      </c>
      <c r="D20" s="37"/>
      <c r="E20" s="265">
        <f>IF('Inputシート ( メガネ事例)'!H30="","",SUM('Inputシート ( メガネ事例)'!H30:H32))</f>
        <v>6388.778</v>
      </c>
      <c r="F20" s="265"/>
      <c r="G20" s="265"/>
      <c r="H20" s="265"/>
      <c r="I20" s="265"/>
      <c r="J20" s="265"/>
      <c r="K20" s="114"/>
      <c r="L20" s="114"/>
      <c r="M20" s="114"/>
      <c r="N20" s="114"/>
      <c r="O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2:31" ht="17.25">
      <c r="B21" s="1"/>
      <c r="C21" s="106" t="str">
        <f>"-）少数株主持分"</f>
        <v>-）少数株主持分</v>
      </c>
      <c r="D21" s="106"/>
      <c r="E21" s="265">
        <f>'Inputシート ( メガネ事例)'!H26</f>
        <v>0</v>
      </c>
      <c r="F21" s="265"/>
      <c r="G21" s="265"/>
      <c r="H21" s="265"/>
      <c r="I21" s="265"/>
      <c r="J21" s="265"/>
      <c r="K21" s="114"/>
      <c r="L21" s="114"/>
      <c r="M21" s="114"/>
      <c r="N21" s="114"/>
      <c r="O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2:31" ht="17.25">
      <c r="B22" s="1"/>
      <c r="C22" s="107" t="str">
        <f>"+）有価証券（売却可能）"</f>
        <v>+）有価証券（売却可能）</v>
      </c>
      <c r="D22" s="108"/>
      <c r="E22" s="265">
        <f>'Inputシート ( メガネ事例)'!H31</f>
        <v>0</v>
      </c>
      <c r="F22" s="265"/>
      <c r="G22" s="265"/>
      <c r="H22" s="265"/>
      <c r="I22" s="265"/>
      <c r="J22" s="265"/>
      <c r="K22" s="114"/>
      <c r="L22" s="114"/>
      <c r="M22" s="114"/>
      <c r="N22" s="114"/>
      <c r="O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2:31" ht="17.25">
      <c r="B23" s="1"/>
      <c r="C23" s="109" t="str">
        <f>"+）投資有価証券（売却可能）"</f>
        <v>+）投資有価証券（売却可能）</v>
      </c>
      <c r="D23" s="110"/>
      <c r="E23" s="265">
        <f>'Inputシート ( メガネ事例)'!H32</f>
        <v>0</v>
      </c>
      <c r="F23" s="265"/>
      <c r="G23" s="265"/>
      <c r="H23" s="265"/>
      <c r="I23" s="265"/>
      <c r="J23" s="265"/>
      <c r="K23" s="114"/>
      <c r="L23" s="114"/>
      <c r="M23" s="114"/>
      <c r="N23" s="114"/>
      <c r="O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2:31" ht="17.25">
      <c r="B24" s="1"/>
      <c r="C24" s="1"/>
      <c r="D24" s="1"/>
      <c r="E24" s="119"/>
      <c r="F24" s="119"/>
      <c r="G24" s="114"/>
      <c r="H24" s="114"/>
      <c r="I24" s="114"/>
      <c r="J24" s="114"/>
      <c r="K24" s="114"/>
      <c r="L24" s="114"/>
      <c r="M24" s="114"/>
      <c r="N24" s="114"/>
      <c r="O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2:31" s="76" customFormat="1" ht="26.25" customHeight="1">
      <c r="B25" s="41"/>
      <c r="C25" s="75" t="s">
        <v>43</v>
      </c>
      <c r="D25" s="75"/>
      <c r="E25" s="120">
        <f>_xlfn.IFERROR(E17-$E$19+$E$20-E21+SUM($E$22:$E$23),"")</f>
        <v>69653.46571624147</v>
      </c>
      <c r="F25" s="121" t="s">
        <v>50</v>
      </c>
      <c r="G25" s="129">
        <f>_xlfn.IFERROR(G17-$E$19+$E$20-$E$21+SUM($E$22:$E$23),"")</f>
        <v>147446.32684979416</v>
      </c>
      <c r="H25" s="120">
        <f>_xlfn.IFERROR(H17-$E$19+$E$20-$E$21+SUM($E$22:$J$23),"")</f>
        <v>59777.114778</v>
      </c>
      <c r="I25" s="123" t="s">
        <v>50</v>
      </c>
      <c r="J25" s="129">
        <f>_xlfn.IFERROR(J17-$E$19+$E$20-$E$21+SUM($E$22:$J$23),"")</f>
        <v>195571.5297723254</v>
      </c>
      <c r="K25" s="124">
        <f>_xlfn.IFERROR(MIN($K$12:$M$12)*K14,"")</f>
        <v>103502.92218395318</v>
      </c>
      <c r="L25" s="123" t="s">
        <v>50</v>
      </c>
      <c r="M25" s="125">
        <f>_xlfn.IFERROR(MAX(K12:$M$12)*M14,"")</f>
        <v>370505.07208129804</v>
      </c>
      <c r="N25" s="126">
        <f>_xlfn.IFERROR(N12*N14,"")</f>
      </c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2:31" s="76" customFormat="1" ht="20.25">
      <c r="B26" s="41"/>
      <c r="C26" s="41"/>
      <c r="D26" s="41"/>
      <c r="E26" s="127"/>
      <c r="F26" s="127"/>
      <c r="G26" s="128"/>
      <c r="H26" s="128"/>
      <c r="I26" s="128"/>
      <c r="J26" s="128"/>
      <c r="K26" s="128"/>
      <c r="L26" s="128"/>
      <c r="M26" s="128"/>
      <c r="N26" s="128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2:31" s="76" customFormat="1" ht="26.25" customHeight="1">
      <c r="B27" s="41"/>
      <c r="C27" s="77" t="s">
        <v>76</v>
      </c>
      <c r="D27" s="78"/>
      <c r="E27" s="120">
        <f>_xlfn.IFERROR(E25*10^6/'Inputシート ( メガネ事例)'!$H$20,"")</f>
        <v>1531.0985532012571</v>
      </c>
      <c r="F27" s="121" t="s">
        <v>50</v>
      </c>
      <c r="G27" s="129">
        <f>_xlfn.IFERROR(G25*10^6/'Inputシート ( メガネ事例)'!$H$20,"")</f>
        <v>3241.114500091832</v>
      </c>
      <c r="H27" s="120">
        <f>_xlfn.IFERROR(H25*10^6/'Inputシート ( メガネ事例)'!$H$20,"")</f>
        <v>1314</v>
      </c>
      <c r="I27" s="123" t="s">
        <v>50</v>
      </c>
      <c r="J27" s="129">
        <f>_xlfn.IFERROR(J25*10^6/'Inputシート ( メガネ事例)'!$H$20,"")</f>
        <v>4298.986176820518</v>
      </c>
      <c r="K27" s="120">
        <f>_xlfn.IFERROR(K25*10^6/'Inputシート ( メガネ事例)'!$H$20,"")</f>
        <v>2275.165675941391</v>
      </c>
      <c r="L27" s="123" t="s">
        <v>50</v>
      </c>
      <c r="M27" s="122">
        <f>_xlfn.IFERROR(M25*10^6/'Inputシート ( メガネ事例)'!$H$20,"")</f>
        <v>8144.3152036170295</v>
      </c>
      <c r="N27" s="120">
        <f>_xlfn.IFERROR(N25*10^6/'Inputシート ( メガネ事例)'!$H$20,"")</f>
      </c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2:31" ht="17.25">
      <c r="B28" s="1"/>
      <c r="C28" s="1"/>
      <c r="D28" s="1"/>
      <c r="E28" s="2"/>
      <c r="F28" s="2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="133" customFormat="1" ht="21.75">
      <c r="B29" s="135" t="s">
        <v>88</v>
      </c>
    </row>
    <row r="32" spans="3:31" ht="17.25">
      <c r="C32" s="1"/>
      <c r="D32" s="1"/>
      <c r="E32" s="2"/>
      <c r="F32" s="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2:31" ht="18.75">
      <c r="B33" s="19"/>
      <c r="C33" s="1"/>
      <c r="D33" s="1"/>
      <c r="E33" s="2"/>
      <c r="F33" s="2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2:31" ht="18.75">
      <c r="B34" s="19"/>
      <c r="C34" s="1"/>
      <c r="D34" s="1"/>
      <c r="E34" s="2"/>
      <c r="F34" s="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2:31" ht="18.75">
      <c r="B35" s="19"/>
      <c r="C35" s="1"/>
      <c r="D35" s="1"/>
      <c r="E35" s="2"/>
      <c r="F35" s="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2:31" ht="18.75">
      <c r="B36" s="19"/>
      <c r="C36" s="1"/>
      <c r="D36" s="1"/>
      <c r="E36" s="2"/>
      <c r="F36" s="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2:31" ht="18.75">
      <c r="B37" s="19"/>
      <c r="C37" s="1"/>
      <c r="D37" s="1"/>
      <c r="E37" s="2"/>
      <c r="F37" s="2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2:31" ht="18.75">
      <c r="B38" s="19"/>
      <c r="C38" s="1"/>
      <c r="D38" s="1"/>
      <c r="E38" s="2"/>
      <c r="F38" s="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2:31" ht="18.75">
      <c r="B39" s="19"/>
      <c r="C39" s="1"/>
      <c r="D39" s="1"/>
      <c r="E39" s="2"/>
      <c r="F39" s="2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2:31" ht="18.75">
      <c r="B40" s="19"/>
      <c r="C40" s="1"/>
      <c r="D40" s="1"/>
      <c r="E40" s="2"/>
      <c r="F40" s="2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2:31" ht="18.75">
      <c r="B41" s="19"/>
      <c r="C41" s="1"/>
      <c r="D41" s="1"/>
      <c r="E41" s="2"/>
      <c r="F41" s="2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2:31" ht="21.75">
      <c r="B42" s="19"/>
      <c r="C42" s="190" t="s">
        <v>141</v>
      </c>
      <c r="D42" s="1"/>
      <c r="E42" s="2"/>
      <c r="F42" s="2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2:31" ht="21.75">
      <c r="B43" s="19"/>
      <c r="C43" s="190" t="s">
        <v>141</v>
      </c>
      <c r="D43" s="1"/>
      <c r="E43" s="2"/>
      <c r="F43" s="2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2:32" ht="17.25">
      <c r="B44" s="24"/>
      <c r="D44" s="1"/>
      <c r="E44" s="1"/>
      <c r="F44" s="258" t="s">
        <v>32</v>
      </c>
      <c r="G44" s="257"/>
      <c r="H44" s="257"/>
      <c r="I44" s="257" t="s">
        <v>44</v>
      </c>
      <c r="J44" s="257"/>
      <c r="K44" s="257"/>
      <c r="L44" s="257" t="s">
        <v>123</v>
      </c>
      <c r="M44" s="257"/>
      <c r="N44" s="257"/>
      <c r="O44" s="102" t="s">
        <v>33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2:32" ht="17.25">
      <c r="B45" s="1"/>
      <c r="C45" s="171"/>
      <c r="D45" s="171"/>
      <c r="E45" s="172"/>
      <c r="F45" s="103" t="s">
        <v>38</v>
      </c>
      <c r="G45" s="104" t="s">
        <v>36</v>
      </c>
      <c r="H45" s="104" t="s">
        <v>37</v>
      </c>
      <c r="I45" s="104" t="s">
        <v>38</v>
      </c>
      <c r="J45" s="104" t="s">
        <v>36</v>
      </c>
      <c r="K45" s="104" t="s">
        <v>37</v>
      </c>
      <c r="L45" s="104" t="s">
        <v>38</v>
      </c>
      <c r="M45" s="104" t="s">
        <v>36</v>
      </c>
      <c r="N45" s="104" t="s">
        <v>37</v>
      </c>
      <c r="O45" s="105" t="s">
        <v>38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2:32" s="76" customFormat="1" ht="20.25">
      <c r="B46" s="41"/>
      <c r="C46" s="170" t="str">
        <f>'Inputシート ( メガネ事例)'!H5</f>
        <v>Target会社</v>
      </c>
      <c r="D46" s="263" t="str">
        <f>'Inputシート ( メガネ事例)'!H7</f>
        <v>メガネトップ</v>
      </c>
      <c r="E46" s="264"/>
      <c r="F46" s="100">
        <f>_xlfn.IFERROR('Inputシート ( メガネ事例)'!$H$23/'Inputシート ( メガネ事例)'!J14,"")</f>
        <v>5.587154462306737</v>
      </c>
      <c r="G46" s="100">
        <f>_xlfn.IFERROR('Inputシート ( メガネ事例)'!$H$23/'Inputシート ( メガネ事例)'!J15,"")</f>
        <v>5.151744596822194</v>
      </c>
      <c r="H46" s="100">
        <f>_xlfn.IFERROR('Inputシート ( メガネ事例)'!$H$23/'Inputシート ( メガネ事例)'!J16,"")</f>
        <v>5.151744596822194</v>
      </c>
      <c r="I46" s="100">
        <f>_xlfn.IFERROR('Inputシート ( メガネ事例)'!$H$23/'Inputシート ( メガネ事例)'!I14,"")</f>
        <v>6.3626210844401605</v>
      </c>
      <c r="J46" s="100">
        <f>_xlfn.IFERROR('Inputシート ( メガネ事例)'!$H$23/'Inputシート ( メガネ事例)'!I15,"")</f>
        <v>5.804000700206612</v>
      </c>
      <c r="K46" s="100">
        <f>_xlfn.IFERROR('Inputシート ( メガネ事例)'!$H$23/'Inputシート ( メガネ事例)'!I16,"")</f>
        <v>5.804000700206612</v>
      </c>
      <c r="L46" s="100">
        <f>_xlfn.IFERROR('Inputシート ( メガネ事例)'!$H$21/'Inputシート ( メガネ事例)'!K14,"")</f>
        <v>12.887106639810407</v>
      </c>
      <c r="M46" s="100">
        <f>_xlfn.IFERROR('Inputシート ( メガネ事例)'!$H$21/'Inputシート ( メガネ事例)'!K15,"")</f>
        <v>10.809604842314648</v>
      </c>
      <c r="N46" s="100">
        <f>_xlfn.IFERROR('Inputシート ( メガネ事例)'!$H$21/'Inputシート ( メガネ事例)'!K16,"")</f>
        <v>10.809604842314648</v>
      </c>
      <c r="O46" s="100">
        <f>_xlfn.IFERROR('Inputシート ( メガネ事例)'!$H$21/'Inputシート ( メガネ事例)'!H25,"")</f>
      </c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</row>
    <row r="47" spans="2:32" ht="17.25">
      <c r="B47" s="1"/>
      <c r="C47" s="96" t="str">
        <f>'Inputシート ( メガネ事例)'!L5</f>
        <v>類似①社</v>
      </c>
      <c r="D47" s="261" t="str">
        <f>IF('Inputシート ( メガネ事例)'!L10="","",'Inputシート ( メガネ事例)'!L10)</f>
        <v>ジェイアイエヌ</v>
      </c>
      <c r="E47" s="262"/>
      <c r="F47" s="26">
        <f>_xlfn.IFERROR('Inputシート ( メガネ事例)'!$L$23/'Inputシート ( メガネ事例)'!N14,"")</f>
        <v>38.381820970279804</v>
      </c>
      <c r="G47" s="26">
        <f>_xlfn.IFERROR('Inputシート ( メガネ事例)'!$L$23/'Inputシート ( メガネ事例)'!N15,"")</f>
        <v>27.882064914410275</v>
      </c>
      <c r="H47" s="26">
        <f>_xlfn.IFERROR('Inputシート ( メガネ事例)'!$L$23/'Inputシート ( メガネ事例)'!N16,"")</f>
        <v>17.14611086164083</v>
      </c>
      <c r="I47" s="26">
        <f>_xlfn.IFERROR('Inputシート ( メガネ事例)'!$L$23/'Inputシート ( メガネ事例)'!M14,"")</f>
        <v>49.04526167869351</v>
      </c>
      <c r="J47" s="26">
        <f>_xlfn.IFERROR('Inputシート ( メガネ事例)'!$L$23/'Inputシート ( メガネ事例)'!M15,"")</f>
        <v>33.11183948717949</v>
      </c>
      <c r="K47" s="26">
        <f>_xlfn.IFERROR('Inputシート ( メガネ事例)'!$L$23/'Inputシート ( メガネ事例)'!M16,"")</f>
        <v>18.99061382352941</v>
      </c>
      <c r="L47" s="165">
        <f>_xlfn.IFERROR('Inputシート ( メガネ事例)'!$L$21/'Inputシート ( メガネ事例)'!O14,"")</f>
        <v>121.11111111111111</v>
      </c>
      <c r="M47" s="165">
        <f>_xlfn.IFERROR('Inputシート ( メガネ事例)'!$L$21/'Inputシート ( メガネ事例)'!O15,"")</f>
        <v>73.27222222222223</v>
      </c>
      <c r="N47" s="165">
        <f>_xlfn.IFERROR('Inputシート ( メガネ事例)'!$L$21/'Inputシート ( メガネ事例)'!O16,"")</f>
        <v>33.81794871794872</v>
      </c>
      <c r="O47" s="26">
        <f>_xlfn.IFERROR('Inputシート ( メガネ事例)'!L21/'Inputシート ( メガネ事例)'!L25,"")</f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2:32" ht="17.25">
      <c r="B48" s="1"/>
      <c r="C48" s="96" t="str">
        <f>'Inputシート ( メガネ事例)'!P5</f>
        <v>類似②社</v>
      </c>
      <c r="D48" s="261" t="str">
        <f>'Inputシート ( メガネ事例)'!P10</f>
        <v>三城HD</v>
      </c>
      <c r="E48" s="262"/>
      <c r="F48" s="26">
        <f>_xlfn.IFERROR('Inputシート ( メガネ事例)'!$P$23/'Inputシート ( メガネ事例)'!R14,"")</f>
        <v>11.73515564225352</v>
      </c>
      <c r="G48" s="26">
        <f>_xlfn.IFERROR('Inputシート ( メガネ事例)'!$P$23/'Inputシート ( メガネ事例)'!R15,"")</f>
        <v>4.08729973313711</v>
      </c>
      <c r="H48" s="26">
        <f>_xlfn.IFERROR('Inputシート ( メガネ事例)'!$P$23/'Inputシート ( メガネ事例)'!R16,"")</f>
        <v>5.894559961796958</v>
      </c>
      <c r="I48" s="192" t="s">
        <v>143</v>
      </c>
      <c r="J48" s="26">
        <f>_xlfn.IFERROR('Inputシート ( メガネ事例)'!$P$23/'Inputシート ( メガネ事例)'!Q15,"")</f>
        <v>6.552859226110892</v>
      </c>
      <c r="K48" s="26">
        <f>_xlfn.IFERROR('Inputシート ( メガネ事例)'!$P$23/'Inputシート ( メガネ事例)'!Q16,"")</f>
        <v>12.88779660634184</v>
      </c>
      <c r="L48" s="192" t="s">
        <v>143</v>
      </c>
      <c r="M48" s="165">
        <f>_xlfn.IFERROR('Inputシート ( メガネ事例)'!$P$21/'Inputシート ( メガネ事例)'!S15,"")</f>
        <v>24.822157211522633</v>
      </c>
      <c r="N48" s="165">
        <f>_xlfn.IFERROR('Inputシート ( メガネ事例)'!$P$21/'Inputシート ( メガネ事例)'!S16,"")</f>
        <v>45.83422646200608</v>
      </c>
      <c r="O48" s="26">
        <f>_xlfn.IFERROR('Inputシート ( メガネ事例)'!P21/'Inputシート ( メガネ事例)'!P25,"")</f>
      </c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2:32" ht="17.25">
      <c r="B49" s="1"/>
      <c r="C49" s="96" t="str">
        <f>'Inputシート ( メガネ事例)'!T5</f>
        <v>類似③社</v>
      </c>
      <c r="D49" s="261" t="str">
        <f>'Inputシート ( メガネ事例)'!T10</f>
        <v>メガネスーパー</v>
      </c>
      <c r="E49" s="262"/>
      <c r="F49" s="192" t="s">
        <v>143</v>
      </c>
      <c r="G49" s="26">
        <f>_xlfn.IFERROR('Inputシート ( メガネ事例)'!$T$23/'Inputシート ( メガネ事例)'!V15,"")</f>
        <v>21.229618188937742</v>
      </c>
      <c r="H49" s="26">
        <f>_xlfn.IFERROR('Inputシート ( メガネ事例)'!$T$23/'Inputシート ( メガネ事例)'!V16,"")</f>
        <v>7.244078620006123</v>
      </c>
      <c r="I49" s="192" t="s">
        <v>143</v>
      </c>
      <c r="J49" s="26">
        <f>_xlfn.IFERROR('Inputシート ( メガネ事例)'!$T$23/'Inputシート ( メガネ事例)'!U15,"")</f>
        <v>70.7942849586777</v>
      </c>
      <c r="K49" s="26">
        <f>_xlfn.IFERROR('Inputシート ( メガネ事例)'!$T$23/'Inputシート ( メガネ事例)'!U16,"")</f>
        <v>9.517898311111113</v>
      </c>
      <c r="L49" s="192" t="s">
        <v>143</v>
      </c>
      <c r="M49" s="192" t="s">
        <v>143</v>
      </c>
      <c r="N49" s="165">
        <f>_xlfn.IFERROR('Inputシート ( メガネ事例)'!$T$21/'Inputシート ( メガネ事例)'!W16,"")</f>
        <v>2.3838521142857143</v>
      </c>
      <c r="O49" s="26">
        <f>_xlfn.IFERROR('Inputシート ( メガネ事例)'!T21/'Inputシート ( メガネ事例)'!T25,"")</f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2:32" ht="17.25">
      <c r="B50" s="1"/>
      <c r="C50" s="96" t="str">
        <f>'Inputシート ( メガネ事例)'!X5</f>
        <v>類似④社</v>
      </c>
      <c r="D50" s="261" t="str">
        <f>'Inputシート ( メガネ事例)'!X10</f>
        <v>愛眼</v>
      </c>
      <c r="E50" s="262"/>
      <c r="F50" s="26">
        <f>_xlfn.IFERROR('Inputシート ( メガネ事例)'!$X$23/'Inputシート ( メガネ事例)'!Z14,"")</f>
        <v>4.788784123456789</v>
      </c>
      <c r="G50" s="192" t="s">
        <v>143</v>
      </c>
      <c r="H50" s="192" t="s">
        <v>143</v>
      </c>
      <c r="I50" s="26">
        <f>_xlfn.IFERROR('Inputシート ( メガネ事例)'!$X$23/'Inputシート ( メガネ事例)'!Y14,"")</f>
        <v>1.278061001647446</v>
      </c>
      <c r="J50" s="192" t="s">
        <v>143</v>
      </c>
      <c r="K50" s="26">
        <f>_xlfn.IFERROR('Inputシート ( メガネ事例)'!$X$23/'Inputシート ( メガネ事例)'!Y16,"")</f>
        <v>2.9723487662835244</v>
      </c>
      <c r="L50" s="192" t="s">
        <v>143</v>
      </c>
      <c r="M50" s="192" t="s">
        <v>143</v>
      </c>
      <c r="N50" s="192" t="s">
        <v>143</v>
      </c>
      <c r="O50" s="26">
        <f>_xlfn.IFERROR('Inputシート ( メガネ事例)'!X21/'Inputシート ( メガネ事例)'!X25,"")</f>
      </c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2:32" ht="17.25">
      <c r="B51" s="1"/>
      <c r="C51" s="96" t="str">
        <f>'Inputシート ( メガネ事例)'!AB5</f>
        <v>類似⑤社</v>
      </c>
      <c r="D51" s="261">
        <f>'Inputシート ( メガネ事例)'!AB10</f>
      </c>
      <c r="E51" s="262"/>
      <c r="F51" s="26">
        <f>_xlfn.IFERROR('Inputシート ( メガネ事例)'!AB23/'Inputシート ( メガネ事例)'!AD14,"")</f>
      </c>
      <c r="G51" s="26">
        <f>_xlfn.IFERROR('Inputシート ( メガネ事例)'!$AB$23/'Inputシート ( メガネ事例)'!AD15,"")</f>
      </c>
      <c r="H51" s="26">
        <f>_xlfn.IFERROR('Inputシート ( メガネ事例)'!$AB$23/'Inputシート ( メガネ事例)'!AD16,"")</f>
      </c>
      <c r="I51" s="26">
        <f>_xlfn.IFERROR('Inputシート ( メガネ事例)'!$AB$23/'Inputシート ( メガネ事例)'!AC14,"")</f>
      </c>
      <c r="J51" s="26">
        <f>_xlfn.IFERROR('Inputシート ( メガネ事例)'!$AB$23/'Inputシート ( メガネ事例)'!AC15,"")</f>
      </c>
      <c r="K51" s="26">
        <f>_xlfn.IFERROR('Inputシート ( メガネ事例)'!$AB$23/'Inputシート ( メガネ事例)'!AC16,"")</f>
      </c>
      <c r="L51" s="165">
        <f>_xlfn.IFERROR('Inputシート ( メガネ事例)'!$AB$21/'Inputシート ( メガネ事例)'!AE14,"")</f>
      </c>
      <c r="M51" s="165">
        <f>_xlfn.IFERROR('Inputシート ( メガネ事例)'!$AB$21/'Inputシート ( メガネ事例)'!AE15,"")</f>
      </c>
      <c r="N51" s="165">
        <f>_xlfn.IFERROR('Inputシート ( メガネ事例)'!$AB$21/'Inputシート ( メガネ事例)'!AE16,"")</f>
      </c>
      <c r="O51" s="26">
        <f>_xlfn.IFERROR('Inputシート ( メガネ事例)'!AB21/'Inputシート ( メガネ事例)'!AB25,"")</f>
      </c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2:32" ht="17.25">
      <c r="B52" s="1"/>
      <c r="C52" s="96" t="str">
        <f>'Inputシート ( メガネ事例)'!AF5</f>
        <v>類似⑥社</v>
      </c>
      <c r="D52" s="261">
        <f>'Inputシート ( メガネ事例)'!AF10</f>
      </c>
      <c r="E52" s="262"/>
      <c r="F52" s="26">
        <f>_xlfn.IFERROR('Inputシート ( メガネ事例)'!$AF$23/'Inputシート ( メガネ事例)'!AH14,"")</f>
      </c>
      <c r="G52" s="26">
        <f>_xlfn.IFERROR('Inputシート ( メガネ事例)'!$AF$23/'Inputシート ( メガネ事例)'!AH15,"")</f>
      </c>
      <c r="H52" s="26">
        <f>_xlfn.IFERROR('Inputシート ( メガネ事例)'!$AF$23/'Inputシート ( メガネ事例)'!AH16,"")</f>
      </c>
      <c r="I52" s="26">
        <f>_xlfn.IFERROR('Inputシート ( メガネ事例)'!$AF$23/'Inputシート ( メガネ事例)'!AG14,"")</f>
      </c>
      <c r="J52" s="26">
        <f>_xlfn.IFERROR('Inputシート ( メガネ事例)'!$AF$23/'Inputシート ( メガネ事例)'!AG15,"")</f>
      </c>
      <c r="K52" s="26">
        <f>_xlfn.IFERROR('Inputシート ( メガネ事例)'!$AF$23/'Inputシート ( メガネ事例)'!AG16,"")</f>
      </c>
      <c r="L52" s="165">
        <f>_xlfn.IFERROR('Inputシート ( メガネ事例)'!$AF$21/'Inputシート ( メガネ事例)'!AI14,"")</f>
      </c>
      <c r="M52" s="165">
        <f>_xlfn.IFERROR('Inputシート ( メガネ事例)'!$AF$21/'Inputシート ( メガネ事例)'!AI15,"")</f>
      </c>
      <c r="N52" s="165">
        <f>_xlfn.IFERROR('Inputシート ( メガネ事例)'!$AF$21/'Inputシート ( メガネ事例)'!AI16,"")</f>
      </c>
      <c r="O52" s="26">
        <f>_xlfn.IFERROR('Inputシート ( メガネ事例)'!AF21/'Inputシート ( メガネ事例)'!AF25,"")</f>
      </c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2:32" ht="17.25">
      <c r="B53" s="1"/>
      <c r="C53" s="96" t="str">
        <f>'Inputシート ( メガネ事例)'!AJ5</f>
        <v>類似⑦社</v>
      </c>
      <c r="D53" s="261">
        <f>'Inputシート ( メガネ事例)'!AJ10</f>
      </c>
      <c r="E53" s="262"/>
      <c r="F53" s="26">
        <f>_xlfn.IFERROR('Inputシート ( メガネ事例)'!$AJ$23/'Inputシート ( メガネ事例)'!AL14,"")</f>
      </c>
      <c r="G53" s="26">
        <f>_xlfn.IFERROR('Inputシート ( メガネ事例)'!$AJ$23/'Inputシート ( メガネ事例)'!AL15,"")</f>
      </c>
      <c r="H53" s="26">
        <f>_xlfn.IFERROR('Inputシート ( メガネ事例)'!$AJ$23/'Inputシート ( メガネ事例)'!AL16,"")</f>
      </c>
      <c r="I53" s="26">
        <f>_xlfn.IFERROR('Inputシート ( メガネ事例)'!$AJ$23/'Inputシート ( メガネ事例)'!AK14,"")</f>
      </c>
      <c r="J53" s="26">
        <f>_xlfn.IFERROR('Inputシート ( メガネ事例)'!$AJ$23/'Inputシート ( メガネ事例)'!AK15,"")</f>
      </c>
      <c r="K53" s="26">
        <f>_xlfn.IFERROR('Inputシート ( メガネ事例)'!$AJ$23/'Inputシート ( メガネ事例)'!AK16,"")</f>
      </c>
      <c r="L53" s="165">
        <f>_xlfn.IFERROR('Inputシート ( メガネ事例)'!$AJ$21/'Inputシート ( メガネ事例)'!AM14,"")</f>
      </c>
      <c r="M53" s="165">
        <f>_xlfn.IFERROR('Inputシート ( メガネ事例)'!$AJ$21/'Inputシート ( メガネ事例)'!AM15,"")</f>
      </c>
      <c r="N53" s="165">
        <f>_xlfn.IFERROR('Inputシート ( メガネ事例)'!$AJ$21/'Inputシート ( メガネ事例)'!AM16,"")</f>
      </c>
      <c r="O53" s="26">
        <f>_xlfn.IFERROR('Inputシート ( メガネ事例)'!AJ21/'Inputシート ( メガネ事例)'!AJ25,"")</f>
      </c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2:32" ht="17.25">
      <c r="B54" s="1"/>
      <c r="C54" s="96" t="str">
        <f>'Inputシート ( メガネ事例)'!AN5</f>
        <v>類似⑧社</v>
      </c>
      <c r="D54" s="261">
        <f>'Inputシート ( メガネ事例)'!AN10</f>
      </c>
      <c r="E54" s="262"/>
      <c r="F54" s="26">
        <f>_xlfn.IFERROR('Inputシート ( メガネ事例)'!$AN$23/'Inputシート ( メガネ事例)'!AP14,"")</f>
      </c>
      <c r="G54" s="26">
        <f>_xlfn.IFERROR('Inputシート ( メガネ事例)'!$AN$23/'Inputシート ( メガネ事例)'!AP15,"")</f>
      </c>
      <c r="H54" s="26">
        <f>_xlfn.IFERROR('Inputシート ( メガネ事例)'!$AN$23/'Inputシート ( メガネ事例)'!AP16,"")</f>
      </c>
      <c r="I54" s="26">
        <f>_xlfn.IFERROR('Inputシート ( メガネ事例)'!$AN$23/'Inputシート ( メガネ事例)'!AO14,"")</f>
      </c>
      <c r="J54" s="26">
        <f>_xlfn.IFERROR('Inputシート ( メガネ事例)'!$AN$23/'Inputシート ( メガネ事例)'!AO15,"")</f>
      </c>
      <c r="K54" s="26">
        <f>_xlfn.IFERROR('Inputシート ( メガネ事例)'!$AN$23/'Inputシート ( メガネ事例)'!AO16,"")</f>
      </c>
      <c r="L54" s="165">
        <f>_xlfn.IFERROR('Inputシート ( メガネ事例)'!$AN$21/'Inputシート ( メガネ事例)'!AQ14,"")</f>
      </c>
      <c r="M54" s="165">
        <f>_xlfn.IFERROR('Inputシート ( メガネ事例)'!$AN$21/'Inputシート ( メガネ事例)'!AQ15,"")</f>
      </c>
      <c r="N54" s="165">
        <f>_xlfn.IFERROR('Inputシート ( メガネ事例)'!$AN$21/'Inputシート ( メガネ事例)'!AQ16,"")</f>
      </c>
      <c r="O54" s="26">
        <f>_xlfn.IFERROR('Inputシート ( メガネ事例)'!AN21/'Inputシート ( メガネ事例)'!AN25,"")</f>
      </c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2:32" ht="17.25">
      <c r="B55" s="1"/>
      <c r="C55" s="96" t="str">
        <f>'Inputシート ( メガネ事例)'!AR5</f>
        <v>類似⑨社</v>
      </c>
      <c r="D55" s="261">
        <f>'Inputシート ( メガネ事例)'!AR10</f>
      </c>
      <c r="E55" s="262"/>
      <c r="F55" s="26">
        <f>_xlfn.IFERROR('Inputシート ( メガネ事例)'!$AR$23/'Inputシート ( メガネ事例)'!AT14,"")</f>
      </c>
      <c r="G55" s="26">
        <f>_xlfn.IFERROR('Inputシート ( メガネ事例)'!$AR$23/'Inputシート ( メガネ事例)'!AT15,"")</f>
      </c>
      <c r="H55" s="26">
        <f>_xlfn.IFERROR('Inputシート ( メガネ事例)'!$AR$23/'Inputシート ( メガネ事例)'!AT16,"")</f>
      </c>
      <c r="I55" s="26">
        <f>_xlfn.IFERROR('Inputシート ( メガネ事例)'!$AR$23/'Inputシート ( メガネ事例)'!AS14,"")</f>
      </c>
      <c r="J55" s="26">
        <f>_xlfn.IFERROR('Inputシート ( メガネ事例)'!$AR$23/'Inputシート ( メガネ事例)'!AS15,"")</f>
      </c>
      <c r="K55" s="26">
        <f>_xlfn.IFERROR('Inputシート ( メガネ事例)'!$AR$23/'Inputシート ( メガネ事例)'!AS16,"")</f>
      </c>
      <c r="L55" s="165">
        <f>_xlfn.IFERROR('Inputシート ( メガネ事例)'!$AR$21/'Inputシート ( メガネ事例)'!AU14,"")</f>
      </c>
      <c r="M55" s="165">
        <f>_xlfn.IFERROR('Inputシート ( メガネ事例)'!$AR$21/'Inputシート ( メガネ事例)'!AU15,"")</f>
      </c>
      <c r="N55" s="165">
        <f>_xlfn.IFERROR('Inputシート ( メガネ事例)'!$AR$21/'Inputシート ( メガネ事例)'!AU16,"")</f>
      </c>
      <c r="O55" s="26">
        <f>_xlfn.IFERROR('Inputシート ( メガネ事例)'!AR21/'Inputシート ( メガネ事例)'!AR25,"")</f>
      </c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2:32" ht="17.25">
      <c r="B56" s="1"/>
      <c r="C56" s="96" t="str">
        <f>'Inputシート ( メガネ事例)'!AV5</f>
        <v>類似⑩社</v>
      </c>
      <c r="D56" s="261">
        <f>'Inputシート ( メガネ事例)'!AV10</f>
      </c>
      <c r="E56" s="262"/>
      <c r="F56" s="26">
        <f>_xlfn.IFERROR('Inputシート ( メガネ事例)'!$AV$23/'Inputシート ( メガネ事例)'!AX14,"")</f>
      </c>
      <c r="G56" s="26">
        <f>_xlfn.IFERROR('Inputシート ( メガネ事例)'!$AV$23/'Inputシート ( メガネ事例)'!AX15,"")</f>
      </c>
      <c r="H56" s="26">
        <f>_xlfn.IFERROR('Inputシート ( メガネ事例)'!$AV$23/'Inputシート ( メガネ事例)'!AX16,"")</f>
      </c>
      <c r="I56" s="26">
        <f>_xlfn.IFERROR('Inputシート ( メガネ事例)'!$AV$23/'Inputシート ( メガネ事例)'!AW14,"")</f>
      </c>
      <c r="J56" s="26">
        <f>_xlfn.IFERROR('Inputシート ( メガネ事例)'!$AV$23/'Inputシート ( メガネ事例)'!AW15,"")</f>
      </c>
      <c r="K56" s="26">
        <f>_xlfn.IFERROR('Inputシート ( メガネ事例)'!$AV$23/'Inputシート ( メガネ事例)'!AW16,"")</f>
      </c>
      <c r="L56" s="165">
        <f>_xlfn.IFERROR('Inputシート ( メガネ事例)'!$AV$21/'Inputシート ( メガネ事例)'!AY14,"")</f>
      </c>
      <c r="M56" s="165">
        <f>_xlfn.IFERROR('Inputシート ( メガネ事例)'!$AV$21/'Inputシート ( メガネ事例)'!AY15,"")</f>
      </c>
      <c r="N56" s="165">
        <f>_xlfn.IFERROR('Inputシート ( メガネ事例)'!$AV$21/'Inputシート ( メガネ事例)'!AY16,"")</f>
      </c>
      <c r="O56" s="26">
        <f>_xlfn.IFERROR('Inputシート ( メガネ事例)'!AV21/'Inputシート ( メガネ事例)'!AV25,"")</f>
      </c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2:32" ht="18" outlineLevel="1" thickBot="1">
      <c r="B57" s="1"/>
      <c r="C57" s="248" t="s">
        <v>34</v>
      </c>
      <c r="D57" s="249"/>
      <c r="E57" s="250"/>
      <c r="F57" s="97">
        <f aca="true" t="shared" si="0" ref="F57:O57">_xlfn.IFERROR(AVERAGE(F46:F56),"")</f>
        <v>15.123228799574214</v>
      </c>
      <c r="G57" s="97">
        <f t="shared" si="0"/>
        <v>14.58768185832683</v>
      </c>
      <c r="H57" s="97">
        <f t="shared" si="0"/>
        <v>8.859123510066526</v>
      </c>
      <c r="I57" s="97">
        <f t="shared" si="0"/>
        <v>18.895314588260373</v>
      </c>
      <c r="J57" s="97">
        <f t="shared" si="0"/>
        <v>29.06574609304367</v>
      </c>
      <c r="K57" s="97">
        <f t="shared" si="0"/>
        <v>10.0345316414945</v>
      </c>
      <c r="L57" s="97">
        <f t="shared" si="0"/>
        <v>66.99910887546076</v>
      </c>
      <c r="M57" s="97">
        <f t="shared" si="0"/>
        <v>36.30132809201984</v>
      </c>
      <c r="N57" s="97">
        <f t="shared" si="0"/>
        <v>23.21140803413879</v>
      </c>
      <c r="O57" s="97">
        <f t="shared" si="0"/>
      </c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2:32" s="99" customFormat="1" ht="21" outlineLevel="1" thickBot="1" thickTop="1">
      <c r="B58" s="51"/>
      <c r="C58" s="251" t="s">
        <v>69</v>
      </c>
      <c r="D58" s="252"/>
      <c r="E58" s="253"/>
      <c r="F58" s="98">
        <f aca="true" t="shared" si="1" ref="F58:O58">_xlfn.IFERROR(MEDIAN(F46:F56),"")</f>
        <v>8.66115505228013</v>
      </c>
      <c r="G58" s="98">
        <f t="shared" si="1"/>
        <v>13.190681392879968</v>
      </c>
      <c r="H58" s="98">
        <f t="shared" si="1"/>
        <v>6.56931929090154</v>
      </c>
      <c r="I58" s="98">
        <f t="shared" si="1"/>
        <v>6.3626210844401605</v>
      </c>
      <c r="J58" s="98">
        <f t="shared" si="1"/>
        <v>19.83234935664519</v>
      </c>
      <c r="K58" s="98">
        <f t="shared" si="1"/>
        <v>9.517898311111113</v>
      </c>
      <c r="L58" s="98">
        <f t="shared" si="1"/>
        <v>66.99910887546076</v>
      </c>
      <c r="M58" s="98">
        <f t="shared" si="1"/>
        <v>24.822157211522633</v>
      </c>
      <c r="N58" s="98">
        <f t="shared" si="1"/>
        <v>22.313776780131683</v>
      </c>
      <c r="O58" s="98">
        <f t="shared" si="1"/>
      </c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</row>
    <row r="59" spans="2:31" ht="18" thickTop="1">
      <c r="B59" s="24"/>
      <c r="D59" s="1"/>
      <c r="E59" s="17"/>
      <c r="F59" s="17"/>
      <c r="G59" s="18"/>
      <c r="H59" s="17"/>
      <c r="I59" s="17"/>
      <c r="J59" s="18"/>
      <c r="K59" s="17"/>
      <c r="L59" s="17"/>
      <c r="M59" s="18"/>
      <c r="N59" s="17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2:31" ht="17.25">
      <c r="B60" s="1"/>
      <c r="C60" s="1"/>
      <c r="D60" s="1"/>
      <c r="E60" s="17"/>
      <c r="F60" s="17"/>
      <c r="G60" s="18"/>
      <c r="H60" s="17"/>
      <c r="I60" s="17"/>
      <c r="J60" s="18"/>
      <c r="K60" s="17"/>
      <c r="L60" s="17"/>
      <c r="M60" s="18"/>
      <c r="N60" s="17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2:32" ht="21.75">
      <c r="B61" s="1"/>
      <c r="C61" s="13"/>
      <c r="D61" s="13"/>
      <c r="E61" s="13"/>
      <c r="F61" s="178">
        <f>IF(F58="","",MIN('試算結果 (メガネ事例)'!F58:H58))</f>
        <v>6.56931929090154</v>
      </c>
      <c r="G61" s="179" t="s">
        <v>50</v>
      </c>
      <c r="H61" s="179">
        <f>IF(F58="","",MAX('試算結果 (メガネ事例)'!F58:H58))</f>
        <v>13.190681392879968</v>
      </c>
      <c r="I61" s="180">
        <f>IF(I58="","",MIN('試算結果 (メガネ事例)'!I58:K58))</f>
        <v>6.3626210844401605</v>
      </c>
      <c r="J61" s="179" t="s">
        <v>50</v>
      </c>
      <c r="K61" s="181">
        <f>IF(I58="","",MAX('試算結果 (メガネ事例)'!I58:K58))</f>
        <v>19.83234935664519</v>
      </c>
      <c r="L61" s="179">
        <f>IF(L58="","",MIN('試算結果 (メガネ事例)'!L58:N58))</f>
        <v>22.313776780131683</v>
      </c>
      <c r="M61" s="179" t="s">
        <v>50</v>
      </c>
      <c r="N61" s="179">
        <f>IF(L58="","",MAX('試算結果 (メガネ事例)'!L58:N58))</f>
        <v>66.99910887546076</v>
      </c>
      <c r="O61" s="182">
        <f>'試算結果 (メガネ事例)'!O58</f>
      </c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</row>
    <row r="62" spans="2:32" ht="21.75">
      <c r="B62" s="1"/>
      <c r="C62" s="190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</row>
    <row r="63" spans="1:31" s="134" customFormat="1" ht="21.75">
      <c r="A63" s="13" t="s">
        <v>89</v>
      </c>
      <c r="B63" s="13"/>
      <c r="C63" s="136"/>
      <c r="D63" s="136"/>
      <c r="E63" s="137"/>
      <c r="F63" s="137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</row>
    <row r="64" spans="2:31" s="138" customFormat="1" ht="21.75">
      <c r="B64" s="13" t="s">
        <v>90</v>
      </c>
      <c r="C64" s="13"/>
      <c r="D64" s="13"/>
      <c r="E64" s="139"/>
      <c r="F64" s="139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</row>
    <row r="65" spans="2:32" ht="55.5" customHeight="1">
      <c r="B65" s="24"/>
      <c r="C65" s="81" t="s">
        <v>105</v>
      </c>
      <c r="D65" s="269" t="s">
        <v>102</v>
      </c>
      <c r="E65" s="82" t="s">
        <v>104</v>
      </c>
      <c r="F65" s="269" t="s">
        <v>74</v>
      </c>
      <c r="G65" s="82" t="s">
        <v>106</v>
      </c>
      <c r="H65" s="269" t="s">
        <v>81</v>
      </c>
      <c r="I65" s="82" t="s">
        <v>107</v>
      </c>
      <c r="J65" s="269" t="s">
        <v>74</v>
      </c>
      <c r="K65" s="82" t="s">
        <v>103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2:32" ht="32.25" customHeight="1">
      <c r="B66" s="24"/>
      <c r="C66" s="95">
        <f>_xlfn.IFERROR(E66*G66+I66*K66,"")</f>
        <v>0.07680000000000001</v>
      </c>
      <c r="D66" s="269"/>
      <c r="E66" s="83">
        <f>'Inputシート ( メガネ事例)'!H53</f>
        <v>0.07680000000000001</v>
      </c>
      <c r="F66" s="269"/>
      <c r="G66" s="85">
        <f>'Inputシート ( メガネ事例)'!I61</f>
        <v>1</v>
      </c>
      <c r="H66" s="269"/>
      <c r="I66" s="83">
        <f>'Inputシート ( メガネ事例)'!H46</f>
        <v>0.012411103567871784</v>
      </c>
      <c r="J66" s="269"/>
      <c r="K66" s="85">
        <f>'Inputシート ( メガネ事例)'!I60</f>
        <v>0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2:31" ht="17.25">
      <c r="B67" s="1"/>
      <c r="C67" s="1"/>
      <c r="D67" s="1"/>
      <c r="E67" s="2"/>
      <c r="F67" s="2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2:31" ht="21.75">
      <c r="B68" s="13" t="s">
        <v>91</v>
      </c>
      <c r="C68" s="1"/>
      <c r="D68" s="1"/>
      <c r="E68" s="2"/>
      <c r="G68" s="94" t="s">
        <v>112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2:31" ht="17.25">
      <c r="B69" s="1"/>
      <c r="C69" s="86" t="s">
        <v>127</v>
      </c>
      <c r="D69" s="86"/>
      <c r="E69" s="87" t="s">
        <v>110</v>
      </c>
      <c r="F69" s="246">
        <f>'Inputシート ( メガネ事例)'!H39</f>
        <v>6292</v>
      </c>
      <c r="G69" s="246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2:31" ht="17.25">
      <c r="B70" s="1"/>
      <c r="C70" s="88" t="s">
        <v>11</v>
      </c>
      <c r="D70" s="88"/>
      <c r="E70" s="89" t="s">
        <v>111</v>
      </c>
      <c r="F70" s="247">
        <f>C66</f>
        <v>0.07680000000000001</v>
      </c>
      <c r="G70" s="247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2:31" ht="17.25">
      <c r="B71" s="1"/>
      <c r="C71" s="86" t="s">
        <v>17</v>
      </c>
      <c r="D71" s="86"/>
      <c r="E71" s="87" t="s">
        <v>131</v>
      </c>
      <c r="F71" s="246">
        <f>_xlfn.IFERROR(F69/F70,"")</f>
        <v>81927.08333333333</v>
      </c>
      <c r="G71" s="246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2:31" ht="17.25">
      <c r="B72" s="1"/>
      <c r="C72" s="88" t="s">
        <v>10</v>
      </c>
      <c r="D72" s="88"/>
      <c r="E72" s="89" t="s">
        <v>130</v>
      </c>
      <c r="F72" s="254">
        <f>'Inputシート ( メガネ事例)'!H60</f>
        <v>0</v>
      </c>
      <c r="G72" s="254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2:31" ht="17.25">
      <c r="B73" s="1"/>
      <c r="C73" s="176" t="s">
        <v>108</v>
      </c>
      <c r="D73" s="176"/>
      <c r="E73" s="177" t="s">
        <v>128</v>
      </c>
      <c r="F73" s="254">
        <f>'Inputシート ( メガネ事例)'!H42</f>
        <v>0</v>
      </c>
      <c r="G73" s="254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2:31" ht="17.25">
      <c r="B74" s="1"/>
      <c r="C74" s="176" t="s">
        <v>109</v>
      </c>
      <c r="D74" s="176"/>
      <c r="E74" s="177" t="s">
        <v>129</v>
      </c>
      <c r="F74" s="254">
        <f>'Inputシート ( メガネ事例)'!H31+'Inputシート ( メガネ事例)'!H32</f>
        <v>0</v>
      </c>
      <c r="G74" s="254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2:31" ht="20.25">
      <c r="B75" s="1"/>
      <c r="C75" s="90" t="s">
        <v>21</v>
      </c>
      <c r="D75" s="90"/>
      <c r="E75" s="91" t="s">
        <v>132</v>
      </c>
      <c r="F75" s="255">
        <f>_xlfn.IFERROR(F71-F72-F73+F74,"")</f>
        <v>81927.08333333333</v>
      </c>
      <c r="G75" s="255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2:31" ht="20.25">
      <c r="B76" s="1"/>
      <c r="C76" s="92" t="s">
        <v>23</v>
      </c>
      <c r="D76" s="92"/>
      <c r="E76" s="93"/>
      <c r="F76" s="256">
        <f>_xlfn.IFERROR(F75*10^6/'Inputシート ( メガネ事例)'!H20,"")</f>
        <v>1800.8929989310832</v>
      </c>
      <c r="G76" s="256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2:31" ht="17.25">
      <c r="B77" s="1"/>
      <c r="C77" s="1" t="s">
        <v>146</v>
      </c>
      <c r="D77" s="1"/>
      <c r="E77" s="2"/>
      <c r="F77" s="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2:31" ht="17.25">
      <c r="B78" s="1"/>
      <c r="C78" s="173" t="s">
        <v>120</v>
      </c>
      <c r="D78" s="174">
        <v>0.0025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2:31" ht="17.25">
      <c r="B79" s="1"/>
      <c r="C79" s="245" t="s">
        <v>119</v>
      </c>
      <c r="D79" s="245"/>
      <c r="E79" s="130">
        <f>F79-D78</f>
        <v>0.0743</v>
      </c>
      <c r="F79" s="131">
        <f>C66</f>
        <v>0.07680000000000001</v>
      </c>
      <c r="G79" s="132">
        <f>F79+D78</f>
        <v>0.07930000000000001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2:31" ht="17.25">
      <c r="B80" s="1"/>
      <c r="C80" s="244" t="s">
        <v>117</v>
      </c>
      <c r="D80" s="244"/>
      <c r="E80" s="25">
        <f>$F$69/E79-$F$72-$F$73+$F$74</f>
        <v>84683.71467025571</v>
      </c>
      <c r="F80" s="25">
        <f>$F$69/F79-$F$72-$F$73+$F$74</f>
        <v>81927.08333333333</v>
      </c>
      <c r="G80" s="25">
        <f>$F$69/G79-$F$72-$F$73+$F$74</f>
        <v>79344.26229508196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2:31" ht="17.25">
      <c r="B81" s="1"/>
      <c r="C81" s="244" t="s">
        <v>118</v>
      </c>
      <c r="D81" s="244"/>
      <c r="E81" s="25">
        <f>E80*10^6/'Inputシート ( メガネ事例)'!$H$20</f>
        <v>1861.4883219099218</v>
      </c>
      <c r="F81" s="25">
        <f>F80*10^6/'Inputシート ( メガネ事例)'!$H$20</f>
        <v>1800.8929989310832</v>
      </c>
      <c r="G81" s="25">
        <f>G80*10^6/'Inputシート ( メガネ事例)'!$H$20</f>
        <v>1744.118314223294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2:31" ht="17.25">
      <c r="B82" s="1"/>
      <c r="C82" s="1"/>
      <c r="D82" s="1"/>
      <c r="E82" s="2"/>
      <c r="F82" s="2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2:31" ht="17.25">
      <c r="B83" s="1"/>
      <c r="C83" s="1"/>
      <c r="D83" s="1"/>
      <c r="E83" s="2"/>
      <c r="F83" s="2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2:31" ht="17.25">
      <c r="B84" s="1"/>
      <c r="C84" s="1"/>
      <c r="D84" s="1"/>
      <c r="E84" s="2"/>
      <c r="F84" s="2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2:31" ht="17.25">
      <c r="B85" s="1"/>
      <c r="C85" s="1"/>
      <c r="D85" s="1"/>
      <c r="E85" s="2"/>
      <c r="F85" s="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2:31" ht="17.25">
      <c r="B86" s="1"/>
      <c r="C86" s="1"/>
      <c r="D86" s="1"/>
      <c r="E86" s="2"/>
      <c r="F86" s="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2:31" ht="17.25">
      <c r="B87" s="1"/>
      <c r="C87" s="1"/>
      <c r="D87" s="1"/>
      <c r="E87" s="2"/>
      <c r="F87" s="2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2:31" ht="17.25">
      <c r="B88" s="1"/>
      <c r="C88" s="1"/>
      <c r="D88" s="1"/>
      <c r="E88" s="2"/>
      <c r="F88" s="2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2:31" ht="17.25">
      <c r="B89" s="1"/>
      <c r="C89" s="1"/>
      <c r="D89" s="1"/>
      <c r="E89" s="2"/>
      <c r="F89" s="2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2:31" ht="17.25">
      <c r="B90" s="1"/>
      <c r="C90" s="1"/>
      <c r="D90" s="1"/>
      <c r="E90" s="2"/>
      <c r="F90" s="2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2:31" ht="17.25">
      <c r="B91" s="1"/>
      <c r="C91" s="1"/>
      <c r="D91" s="1"/>
      <c r="E91" s="2"/>
      <c r="F91" s="2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2:31" ht="17.25">
      <c r="B92" s="1"/>
      <c r="C92" s="1"/>
      <c r="D92" s="1"/>
      <c r="E92" s="2"/>
      <c r="F92" s="2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2:31" ht="17.25">
      <c r="B93" s="1"/>
      <c r="C93" s="1"/>
      <c r="D93" s="1"/>
      <c r="E93" s="2"/>
      <c r="F93" s="2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2:31" ht="17.25">
      <c r="B94" s="1"/>
      <c r="C94" s="1"/>
      <c r="D94" s="1"/>
      <c r="E94" s="2"/>
      <c r="F94" s="2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2:31" ht="17.25">
      <c r="B95" s="1"/>
      <c r="C95" s="1"/>
      <c r="D95" s="1"/>
      <c r="E95" s="2"/>
      <c r="F95" s="2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2:31" ht="17.25">
      <c r="B96" s="1"/>
      <c r="C96" s="1"/>
      <c r="D96" s="1"/>
      <c r="E96" s="2"/>
      <c r="F96" s="2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2:31" ht="17.25">
      <c r="B97" s="1"/>
      <c r="C97" s="1"/>
      <c r="D97" s="1"/>
      <c r="E97" s="2"/>
      <c r="F97" s="2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2:31" ht="17.25">
      <c r="B98" s="1"/>
      <c r="C98" s="1"/>
      <c r="D98" s="1"/>
      <c r="E98" s="2"/>
      <c r="F98" s="2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2:31" ht="17.25">
      <c r="B99" s="1"/>
      <c r="C99" s="1"/>
      <c r="D99" s="1"/>
      <c r="E99" s="2"/>
      <c r="F99" s="2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2:31" ht="17.25">
      <c r="B100" s="1"/>
      <c r="C100" s="1"/>
      <c r="D100" s="1"/>
      <c r="E100" s="2"/>
      <c r="F100" s="2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2:31" ht="17.25">
      <c r="B101" s="1"/>
      <c r="C101" s="1"/>
      <c r="D101" s="1"/>
      <c r="E101" s="2"/>
      <c r="F101" s="2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2:31" ht="17.25">
      <c r="B102" s="1"/>
      <c r="C102" s="1"/>
      <c r="D102" s="1"/>
      <c r="E102" s="2"/>
      <c r="F102" s="2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2:31" ht="17.25">
      <c r="B103" s="1"/>
      <c r="C103" s="1"/>
      <c r="D103" s="1"/>
      <c r="E103" s="2"/>
      <c r="F103" s="2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2:31" ht="17.25">
      <c r="B104" s="1"/>
      <c r="C104" s="1"/>
      <c r="D104" s="1"/>
      <c r="E104" s="2"/>
      <c r="F104" s="2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2:31" ht="17.25">
      <c r="B105" s="1"/>
      <c r="C105" s="1"/>
      <c r="D105" s="1"/>
      <c r="E105" s="2"/>
      <c r="F105" s="2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2:31" ht="17.25">
      <c r="B106" s="1"/>
      <c r="C106" s="1"/>
      <c r="D106" s="1"/>
      <c r="E106" s="2"/>
      <c r="F106" s="2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2:31" ht="17.25">
      <c r="B107" s="1"/>
      <c r="C107" s="1"/>
      <c r="D107" s="1"/>
      <c r="E107" s="2"/>
      <c r="F107" s="2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2:31" ht="17.25">
      <c r="B108" s="1"/>
      <c r="C108" s="1"/>
      <c r="D108" s="1"/>
      <c r="E108" s="2"/>
      <c r="F108" s="2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2:31" ht="17.25">
      <c r="B109" s="1"/>
      <c r="C109" s="1"/>
      <c r="D109" s="1"/>
      <c r="E109" s="2"/>
      <c r="F109" s="2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2:31" ht="17.25">
      <c r="B110" s="1"/>
      <c r="C110" s="1"/>
      <c r="D110" s="1"/>
      <c r="E110" s="2"/>
      <c r="F110" s="2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2:31" ht="17.25">
      <c r="B111" s="1"/>
      <c r="C111" s="1"/>
      <c r="D111" s="1"/>
      <c r="E111" s="2"/>
      <c r="F111" s="2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2:31" ht="17.25">
      <c r="B112" s="1"/>
      <c r="C112" s="1"/>
      <c r="D112" s="1"/>
      <c r="E112" s="2"/>
      <c r="F112" s="2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2:31" ht="17.25">
      <c r="B113" s="1"/>
      <c r="C113" s="1"/>
      <c r="D113" s="1"/>
      <c r="E113" s="2"/>
      <c r="F113" s="2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2:31" ht="17.25">
      <c r="B114" s="1"/>
      <c r="C114" s="1"/>
      <c r="D114" s="1"/>
      <c r="E114" s="2"/>
      <c r="F114" s="2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2:31" ht="17.25">
      <c r="B115" s="1"/>
      <c r="C115" s="1"/>
      <c r="D115" s="1"/>
      <c r="E115" s="2"/>
      <c r="F115" s="2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2:31" ht="17.25">
      <c r="B116" s="1"/>
      <c r="C116" s="1"/>
      <c r="D116" s="1"/>
      <c r="E116" s="2"/>
      <c r="F116" s="2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2:31" ht="17.25">
      <c r="B117" s="1"/>
      <c r="C117" s="1"/>
      <c r="D117" s="1"/>
      <c r="E117" s="2"/>
      <c r="F117" s="2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2:31" ht="17.25">
      <c r="B118" s="1"/>
      <c r="C118" s="1"/>
      <c r="D118" s="1"/>
      <c r="E118" s="2"/>
      <c r="F118" s="2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2:31" ht="17.25">
      <c r="B119" s="1"/>
      <c r="C119" s="1"/>
      <c r="D119" s="1"/>
      <c r="E119" s="2"/>
      <c r="F119" s="2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2:31" ht="17.25">
      <c r="B120" s="1"/>
      <c r="C120" s="1"/>
      <c r="D120" s="1"/>
      <c r="E120" s="2"/>
      <c r="F120" s="2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2:31" ht="17.25">
      <c r="B121" s="1"/>
      <c r="C121" s="1"/>
      <c r="D121" s="1"/>
      <c r="E121" s="2"/>
      <c r="F121" s="2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2:31" ht="17.25">
      <c r="B122" s="1"/>
      <c r="C122" s="1"/>
      <c r="D122" s="1"/>
      <c r="E122" s="2"/>
      <c r="F122" s="2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2:31" ht="17.25">
      <c r="B123" s="1"/>
      <c r="C123" s="1"/>
      <c r="D123" s="1"/>
      <c r="E123" s="2"/>
      <c r="F123" s="2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2:31" ht="17.25">
      <c r="B124" s="1"/>
      <c r="C124" s="1"/>
      <c r="D124" s="1"/>
      <c r="E124" s="2"/>
      <c r="F124" s="2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2:31" ht="17.25">
      <c r="B125" s="1"/>
      <c r="C125" s="1"/>
      <c r="D125" s="1"/>
      <c r="E125" s="2"/>
      <c r="F125" s="2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2:31" ht="17.25">
      <c r="B126" s="1"/>
      <c r="C126" s="1"/>
      <c r="D126" s="1"/>
      <c r="E126" s="2"/>
      <c r="F126" s="2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2:31" ht="17.25">
      <c r="B127" s="1"/>
      <c r="C127" s="1"/>
      <c r="D127" s="1"/>
      <c r="E127" s="2"/>
      <c r="F127" s="2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2:31" ht="17.25">
      <c r="B128" s="1"/>
      <c r="C128" s="1"/>
      <c r="D128" s="1"/>
      <c r="E128" s="2"/>
      <c r="F128" s="2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2:31" ht="17.25">
      <c r="B129" s="1"/>
      <c r="C129" s="1"/>
      <c r="D129" s="1"/>
      <c r="E129" s="2"/>
      <c r="F129" s="2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2:31" ht="17.25">
      <c r="B130" s="1"/>
      <c r="C130" s="1"/>
      <c r="D130" s="1"/>
      <c r="E130" s="2"/>
      <c r="F130" s="2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2:31" ht="17.25">
      <c r="B131" s="1"/>
      <c r="C131" s="1"/>
      <c r="D131" s="1"/>
      <c r="E131" s="2"/>
      <c r="F131" s="2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2:31" ht="17.25">
      <c r="B132" s="1"/>
      <c r="C132" s="1"/>
      <c r="D132" s="1"/>
      <c r="E132" s="2"/>
      <c r="F132" s="2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2:31" ht="17.25">
      <c r="B133" s="1"/>
      <c r="C133" s="1"/>
      <c r="D133" s="1"/>
      <c r="E133" s="2"/>
      <c r="F133" s="2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2:31" ht="17.25">
      <c r="B134" s="1"/>
      <c r="C134" s="1"/>
      <c r="D134" s="1"/>
      <c r="E134" s="2"/>
      <c r="F134" s="2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2:31" ht="17.25">
      <c r="B135" s="1"/>
      <c r="C135" s="1"/>
      <c r="D135" s="1"/>
      <c r="E135" s="2"/>
      <c r="F135" s="2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2:31" ht="17.25">
      <c r="B136" s="1"/>
      <c r="C136" s="1"/>
      <c r="D136" s="1"/>
      <c r="E136" s="2"/>
      <c r="F136" s="2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2:31" ht="17.25">
      <c r="B137" s="1"/>
      <c r="C137" s="1"/>
      <c r="D137" s="1"/>
      <c r="E137" s="2"/>
      <c r="F137" s="2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2:31" ht="17.25">
      <c r="B138" s="1"/>
      <c r="C138" s="1"/>
      <c r="D138" s="1"/>
      <c r="E138" s="2"/>
      <c r="F138" s="2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2:31" ht="17.25">
      <c r="B139" s="1"/>
      <c r="C139" s="1"/>
      <c r="D139" s="1"/>
      <c r="E139" s="2"/>
      <c r="F139" s="2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2:31" ht="17.25">
      <c r="B140" s="1"/>
      <c r="C140" s="1"/>
      <c r="D140" s="1"/>
      <c r="E140" s="2"/>
      <c r="F140" s="2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2:31" ht="17.25">
      <c r="B141" s="1"/>
      <c r="C141" s="1"/>
      <c r="D141" s="1"/>
      <c r="E141" s="2"/>
      <c r="F141" s="2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2:31" ht="17.25">
      <c r="B142" s="1"/>
      <c r="C142" s="1"/>
      <c r="D142" s="1"/>
      <c r="E142" s="2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2:31" ht="17.25">
      <c r="B143" s="1"/>
      <c r="C143" s="1"/>
      <c r="D143" s="1"/>
      <c r="E143" s="2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</sheetData>
  <sheetProtection/>
  <mergeCells count="54">
    <mergeCell ref="F76:G76"/>
    <mergeCell ref="C79:D79"/>
    <mergeCell ref="C80:D80"/>
    <mergeCell ref="C81:D81"/>
    <mergeCell ref="F70:G70"/>
    <mergeCell ref="F71:G71"/>
    <mergeCell ref="F72:G72"/>
    <mergeCell ref="F73:G73"/>
    <mergeCell ref="F74:G74"/>
    <mergeCell ref="F75:G75"/>
    <mergeCell ref="C58:E58"/>
    <mergeCell ref="D65:D66"/>
    <mergeCell ref="F65:F66"/>
    <mergeCell ref="H65:H66"/>
    <mergeCell ref="J65:J66"/>
    <mergeCell ref="F69:G69"/>
    <mergeCell ref="D52:E52"/>
    <mergeCell ref="D53:E53"/>
    <mergeCell ref="D54:E54"/>
    <mergeCell ref="D55:E55"/>
    <mergeCell ref="D56:E56"/>
    <mergeCell ref="C57:E57"/>
    <mergeCell ref="D46:E46"/>
    <mergeCell ref="D47:E47"/>
    <mergeCell ref="D48:E48"/>
    <mergeCell ref="D49:E49"/>
    <mergeCell ref="D50:E50"/>
    <mergeCell ref="D51:E51"/>
    <mergeCell ref="E21:J21"/>
    <mergeCell ref="E22:J22"/>
    <mergeCell ref="E23:J23"/>
    <mergeCell ref="F44:H44"/>
    <mergeCell ref="I44:K44"/>
    <mergeCell ref="L44:N44"/>
    <mergeCell ref="C14:D14"/>
    <mergeCell ref="E15:G15"/>
    <mergeCell ref="H15:J15"/>
    <mergeCell ref="K15:M15"/>
    <mergeCell ref="E19:J19"/>
    <mergeCell ref="E20:J20"/>
    <mergeCell ref="B5:E5"/>
    <mergeCell ref="E10:G10"/>
    <mergeCell ref="H10:J10"/>
    <mergeCell ref="K10:M10"/>
    <mergeCell ref="C12:D12"/>
    <mergeCell ref="E13:G13"/>
    <mergeCell ref="H13:J13"/>
    <mergeCell ref="K13:M13"/>
    <mergeCell ref="B2:E2"/>
    <mergeCell ref="F2:H2"/>
    <mergeCell ref="I2:K2"/>
    <mergeCell ref="B3:C4"/>
    <mergeCell ref="D3:E3"/>
    <mergeCell ref="D4:E4"/>
  </mergeCells>
  <printOptions/>
  <pageMargins left="0.2362204724409449" right="0.2362204724409449" top="0.7480314960629921" bottom="0.7480314960629921" header="0.31496062992125984" footer="0.31496062992125984"/>
  <pageSetup fitToHeight="1" fitToWidth="1" orientation="portrait" paperSize="9" scale="49" r:id="rId2"/>
  <ignoredErrors>
    <ignoredError sqref="E20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Platinum</dc:creator>
  <cp:keywords/>
  <dc:description/>
  <cp:lastModifiedBy>Platinum</cp:lastModifiedBy>
  <cp:lastPrinted>2015-05-10T05:36:38Z</cp:lastPrinted>
  <dcterms:created xsi:type="dcterms:W3CDTF">2015-04-04T05:08:38Z</dcterms:created>
  <dcterms:modified xsi:type="dcterms:W3CDTF">2018-02-25T03:10:03Z</dcterms:modified>
  <cp:category/>
  <cp:version/>
  <cp:contentType/>
  <cp:contentStatus/>
</cp:coreProperties>
</file>